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795" windowHeight="13875"/>
  </bookViews>
  <sheets>
    <sheet name="SL_350" sheetId="1" r:id="rId1"/>
    <sheet name="SL_350_SW-R" sheetId="2" r:id="rId2"/>
    <sheet name="SL_350_SW-L" sheetId="3" r:id="rId3"/>
  </sheets>
  <definedNames>
    <definedName name="_xlnm.Print_Area" localSheetId="0">SL_350!$A$1:$AB$70</definedName>
  </definedNames>
  <calcPr calcId="145621"/>
</workbook>
</file>

<file path=xl/calcChain.xml><?xml version="1.0" encoding="utf-8"?>
<calcChain xmlns="http://schemas.openxmlformats.org/spreadsheetml/2006/main">
  <c r="AG110" i="1" l="1"/>
  <c r="AG104" i="1"/>
  <c r="AG99" i="1"/>
  <c r="AG94" i="1"/>
  <c r="AG90" i="1"/>
  <c r="AG86" i="1"/>
  <c r="AG80" i="1"/>
  <c r="AG76" i="1"/>
  <c r="AG72" i="1"/>
  <c r="L69" i="1"/>
  <c r="G69" i="1"/>
  <c r="AG68" i="1"/>
  <c r="L68" i="1"/>
  <c r="K68" i="1"/>
  <c r="G68" i="1"/>
  <c r="AG67" i="1"/>
  <c r="H67" i="1"/>
  <c r="G67" i="1"/>
  <c r="G66" i="1"/>
  <c r="AG65" i="1"/>
  <c r="K65" i="1"/>
  <c r="H65" i="1"/>
  <c r="L64" i="1"/>
  <c r="K64" i="1"/>
  <c r="AG63" i="1"/>
  <c r="I63" i="1"/>
  <c r="G63" i="1"/>
  <c r="P62" i="1"/>
  <c r="K69" i="1" s="1"/>
  <c r="K62" i="1"/>
  <c r="G62" i="1"/>
  <c r="AG61" i="1"/>
  <c r="I61" i="1"/>
  <c r="AG60" i="1"/>
  <c r="AG57" i="1"/>
  <c r="AG55" i="1"/>
  <c r="AG51" i="1"/>
  <c r="AG49" i="1"/>
  <c r="AL45" i="1"/>
  <c r="AG45" i="1"/>
  <c r="F45" i="1"/>
  <c r="AG44" i="1"/>
  <c r="AL42" i="1"/>
  <c r="AG42" i="1"/>
  <c r="AG37" i="1"/>
  <c r="F36" i="1"/>
  <c r="F27" i="2" s="1"/>
  <c r="G34" i="1"/>
  <c r="G25" i="2" s="1"/>
  <c r="D34" i="1"/>
  <c r="C27" i="3" s="1"/>
  <c r="AG31" i="1"/>
  <c r="AG29" i="1"/>
  <c r="AG28" i="1"/>
  <c r="AG26" i="1"/>
  <c r="AG25" i="1"/>
  <c r="I23" i="1"/>
  <c r="B23" i="1"/>
  <c r="I14" i="3" s="1"/>
  <c r="AG21" i="1"/>
  <c r="U21" i="1"/>
  <c r="AG20" i="1"/>
  <c r="D16" i="1"/>
  <c r="F5" i="3" s="1"/>
  <c r="AG15" i="1"/>
  <c r="AG14" i="1"/>
  <c r="R13" i="1"/>
  <c r="Q12" i="1"/>
  <c r="P10" i="1"/>
  <c r="AG8" i="1"/>
  <c r="AG6" i="1"/>
  <c r="AG5" i="1"/>
  <c r="AG4" i="1"/>
  <c r="M3" i="1"/>
  <c r="AG2" i="1"/>
  <c r="AE1" i="1"/>
  <c r="AG127" i="1" s="1"/>
  <c r="Q9" i="1" l="1"/>
  <c r="L56" i="1"/>
  <c r="L59" i="1"/>
  <c r="D12" i="1"/>
  <c r="AG30" i="1"/>
  <c r="AG50" i="1"/>
  <c r="AG56" i="1"/>
  <c r="G64" i="1"/>
  <c r="L65" i="1"/>
  <c r="K67" i="1"/>
  <c r="AG70" i="1"/>
  <c r="AG78" i="1"/>
  <c r="AG88" i="1"/>
  <c r="AG96" i="1"/>
  <c r="AG107" i="1"/>
  <c r="E42" i="3" s="1"/>
  <c r="AG118" i="1"/>
  <c r="D5" i="2"/>
  <c r="F27" i="3"/>
  <c r="AG3" i="1"/>
  <c r="R59" i="1" s="1"/>
  <c r="AG7" i="1"/>
  <c r="C58" i="1" s="1"/>
  <c r="AG12" i="1"/>
  <c r="AG16" i="1"/>
  <c r="C65" i="1" s="1"/>
  <c r="AG35" i="1"/>
  <c r="AG41" i="1"/>
  <c r="AG62" i="1"/>
  <c r="H64" i="1"/>
  <c r="L67" i="1"/>
  <c r="AG71" i="1"/>
  <c r="AG79" i="1"/>
  <c r="AG89" i="1"/>
  <c r="AG97" i="1"/>
  <c r="AG108" i="1"/>
  <c r="E42" i="2" s="1"/>
  <c r="AG120" i="1"/>
  <c r="E30" i="3"/>
  <c r="AG121" i="1"/>
  <c r="A15" i="2"/>
  <c r="AG73" i="1"/>
  <c r="AG81" i="1"/>
  <c r="AG91" i="1"/>
  <c r="AG101" i="1"/>
  <c r="AG111" i="1"/>
  <c r="AG122" i="1"/>
  <c r="D25" i="2"/>
  <c r="O5" i="1"/>
  <c r="AG13" i="1"/>
  <c r="G58" i="1" s="1"/>
  <c r="AG22" i="1"/>
  <c r="Y31" i="1" s="1"/>
  <c r="AG27" i="1"/>
  <c r="R54" i="1" s="1"/>
  <c r="AG64" i="1"/>
  <c r="I66" i="1"/>
  <c r="H68" i="1"/>
  <c r="H69" i="1"/>
  <c r="AG74" i="1"/>
  <c r="AG82" i="1"/>
  <c r="AG92" i="1"/>
  <c r="AG102" i="1"/>
  <c r="AG112" i="1"/>
  <c r="AG123" i="1"/>
  <c r="AG32" i="1"/>
  <c r="AG36" i="1"/>
  <c r="AG43" i="1"/>
  <c r="AG48" i="1"/>
  <c r="AG66" i="1"/>
  <c r="AG75" i="1"/>
  <c r="AG85" i="1"/>
  <c r="AG93" i="1"/>
  <c r="AG103" i="1"/>
  <c r="AG113" i="1"/>
  <c r="AG125" i="1"/>
  <c r="H11" i="1" s="1"/>
  <c r="AG115" i="1"/>
  <c r="H9" i="1" s="1"/>
  <c r="AG126" i="1"/>
  <c r="AG69" i="1"/>
  <c r="AG77" i="1"/>
  <c r="AG87" i="1"/>
  <c r="AG95" i="1"/>
  <c r="AG106" i="1"/>
  <c r="AG117" i="1"/>
  <c r="P56" i="1" s="1"/>
  <c r="AB61" i="1" l="1"/>
  <c r="M55" i="1"/>
  <c r="M58" i="1"/>
  <c r="C59" i="1"/>
  <c r="G61" i="1"/>
  <c r="V68" i="1"/>
  <c r="X2" i="1"/>
  <c r="V65" i="1"/>
  <c r="X61" i="1"/>
  <c r="R58" i="1"/>
  <c r="C56" i="1"/>
  <c r="I21" i="1"/>
  <c r="L62" i="1"/>
  <c r="B18" i="1"/>
  <c r="U18" i="1"/>
  <c r="G55" i="1"/>
  <c r="C64" i="1"/>
  <c r="E39" i="1"/>
  <c r="B51" i="1"/>
  <c r="X45" i="1"/>
  <c r="Y26" i="1"/>
  <c r="V63" i="1"/>
  <c r="R45" i="1"/>
  <c r="I20" i="1"/>
  <c r="R47" i="1"/>
  <c r="T61" i="1"/>
  <c r="C60" i="1"/>
  <c r="I36" i="1"/>
  <c r="C36" i="1"/>
  <c r="O7" i="1"/>
  <c r="J14" i="1"/>
  <c r="J13" i="1"/>
  <c r="C42" i="2"/>
  <c r="C42" i="3"/>
  <c r="C63" i="1"/>
  <c r="I32" i="1"/>
  <c r="C32" i="1"/>
  <c r="H5" i="1"/>
  <c r="V61" i="1"/>
  <c r="C57" i="1"/>
  <c r="AA61" i="1"/>
  <c r="H56" i="1"/>
  <c r="R51" i="1"/>
  <c r="R57" i="1"/>
  <c r="Y21" i="1"/>
  <c r="H3" i="1"/>
  <c r="I29" i="1"/>
  <c r="R53" i="1"/>
  <c r="I26" i="1"/>
  <c r="Z68" i="1"/>
  <c r="H59" i="1"/>
  <c r="R61" i="1"/>
  <c r="H7" i="1"/>
  <c r="L37" i="1"/>
  <c r="C42" i="1"/>
  <c r="P59" i="1"/>
  <c r="R35" i="1"/>
  <c r="B49" i="1"/>
  <c r="B55" i="1"/>
  <c r="C62" i="1"/>
  <c r="M61" i="1"/>
  <c r="B52" i="1"/>
  <c r="Z61" i="1"/>
  <c r="AA68" i="1"/>
  <c r="I27" i="1"/>
  <c r="C61" i="1"/>
  <c r="H62" i="1"/>
  <c r="B53" i="1"/>
  <c r="T18" i="1" l="1"/>
  <c r="C18" i="1"/>
  <c r="C40" i="2"/>
  <c r="C40" i="3"/>
  <c r="C48" i="3"/>
  <c r="C48" i="2"/>
  <c r="C44" i="3"/>
  <c r="C44" i="2"/>
  <c r="C46" i="3"/>
  <c r="C46" i="2"/>
  <c r="I6" i="3" l="1"/>
  <c r="A6" i="2"/>
</calcChain>
</file>

<file path=xl/sharedStrings.xml><?xml version="1.0" encoding="utf-8"?>
<sst xmlns="http://schemas.openxmlformats.org/spreadsheetml/2006/main" count="906" uniqueCount="802">
  <si>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</si>
  <si>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</si>
  <si>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</si>
  <si>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</si>
  <si>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</si>
  <si>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</si>
  <si>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</si>
  <si>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</si>
  <si>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</si>
  <si>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</si>
  <si>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</si>
  <si>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</si>
  <si>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</si>
  <si>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</si>
  <si>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</si>
  <si>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</si>
  <si>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</si>
  <si>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</si>
  <si>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</si>
  <si>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</si>
  <si>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</si>
  <si>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</si>
  <si>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</si>
  <si>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</si>
  <si>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W max 7000 mm; H max 3600 mm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</si>
  <si>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</si>
  <si>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</si>
  <si>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</si>
  <si>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</si>
  <si>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</si>
  <si>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</si>
  <si>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</si>
  <si>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</si>
  <si>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</si>
  <si>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</si>
  <si>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</si>
  <si>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</si>
  <si>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</si>
  <si>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</si>
  <si>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</si>
  <si>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</si>
  <si>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</si>
  <si>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</si>
  <si>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</si>
  <si>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</si>
  <si>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</si>
  <si>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</si>
  <si>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</si>
  <si>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</si>
  <si>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</si>
  <si>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</si>
  <si>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</si>
  <si>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</si>
  <si>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</si>
  <si>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</si>
  <si>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</si>
  <si>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</si>
  <si>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</si>
  <si>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</si>
  <si>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</si>
  <si>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</si>
  <si>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</si>
  <si>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</si>
  <si>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</si>
  <si>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</si>
  <si>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</si>
  <si>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</si>
  <si>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</si>
  <si>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</si>
  <si>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</si>
  <si>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</si>
  <si>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</si>
  <si>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</si>
  <si>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</si>
  <si>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</si>
  <si>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</si>
  <si>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</si>
  <si>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</si>
  <si>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</si>
  <si>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</si>
  <si>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</si>
  <si>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</si>
  <si>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STANDARDNÍ VEDENÍ (SL) 350</t>
  </si>
  <si>
    <t>STANDARD LIFT SYSTEM (SL) 350</t>
  </si>
  <si>
    <t>STANDARD BESCHLAG (SL) 350</t>
  </si>
  <si>
    <t>PROWADZENIE STANDARDOWE (SL) 350</t>
  </si>
  <si>
    <t>LEVEE STANDARD (SL) 350</t>
  </si>
  <si>
    <t>Standaard beslagsysteem (SL) 350</t>
  </si>
  <si>
    <t>Standardtõste (SL) 350</t>
  </si>
  <si>
    <t>VAKIONOSTO (SL) 350</t>
  </si>
  <si>
    <t>СТАНДАРТНЫЙ ПОДЪЕМ (SL) 350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</si>
  <si>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</si>
  <si>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</si>
  <si>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</si>
  <si>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</si>
  <si>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</si>
  <si>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 boven latei</t>
  </si>
  <si>
    <t>Vedrud ava kohal</t>
  </si>
  <si>
    <t>jouset ovipalkkin päällä</t>
  </si>
  <si>
    <t>нижнее расположение вала</t>
  </si>
  <si>
    <t>pro HL&gt;600 a HL&lt;=1200</t>
  </si>
  <si>
    <t>pro HL&gt;600 and HL&lt;=1200</t>
  </si>
  <si>
    <t>pro HL&gt;600 und HL&lt;=1200</t>
  </si>
  <si>
    <t>pro HL&gt;600 i HL&lt;=1200</t>
  </si>
  <si>
    <t>pro HL&gt;600 et HL&lt;=1200</t>
  </si>
  <si>
    <t>PANEEL 40 mm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</si>
  <si>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</si>
  <si>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</si>
  <si>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</si>
  <si>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</si>
  <si>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</si>
  <si>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</si>
  <si>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</si>
  <si>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</si>
  <si>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Max. WxH 5000x5500 max. 25m2</t>
  </si>
  <si>
    <t>Lamelli 40mm</t>
  </si>
  <si>
    <t xml:space="preserve">ТОЛЩИНА СЕКЦИИ 40мм </t>
  </si>
  <si>
    <t>Max. W x H 4000x4000</t>
  </si>
  <si>
    <t>elektrisch bediende deuren</t>
  </si>
  <si>
    <t>макс. ШхВ (WxH) 4000x4000</t>
  </si>
  <si>
    <t>A=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</si>
  <si>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</si>
  <si>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</si>
  <si>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</si>
  <si>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</si>
  <si>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</si>
  <si>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</si>
  <si>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</si>
  <si>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</si>
  <si>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</si>
  <si>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</si>
  <si>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</si>
  <si>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</si>
  <si>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</si>
  <si>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</si>
  <si>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</si>
  <si>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</si>
  <si>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</si>
  <si>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</si>
  <si>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</si>
  <si>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</si>
  <si>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</si>
  <si>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</si>
  <si>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</si>
  <si>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</si>
  <si>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</si>
  <si>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</si>
  <si>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</si>
  <si>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H=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</si>
  <si>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</si>
  <si>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</si>
  <si>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</si>
  <si>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</si>
  <si>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</si>
  <si>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</si>
  <si>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</si>
  <si>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</si>
  <si>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</si>
  <si>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</si>
  <si>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</si>
  <si>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</si>
  <si>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</si>
  <si>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</si>
  <si>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</si>
  <si>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</si>
  <si>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</si>
  <si>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</si>
  <si>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</si>
  <si>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</si>
  <si>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</si>
  <si>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</si>
  <si>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</si>
  <si>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</si>
  <si>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</si>
  <si>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</si>
  <si>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</si>
  <si>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</si>
  <si>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</si>
  <si>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</si>
  <si>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</si>
  <si>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</si>
  <si>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Benodigde montagevlakken en vrije ruimtes, volgens tekening.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</si>
  <si>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</si>
  <si>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</si>
  <si>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</si>
  <si>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</si>
  <si>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</si>
  <si>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</si>
  <si>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</si>
  <si>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</si>
  <si>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</si>
  <si>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</si>
  <si>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</si>
  <si>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</si>
  <si>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</si>
  <si>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</si>
  <si>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</si>
  <si>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</si>
  <si>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</si>
  <si>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</si>
  <si>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</si>
  <si>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</si>
  <si>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</si>
  <si>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</si>
  <si>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</si>
  <si>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</si>
  <si>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</si>
  <si>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</si>
  <si>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</si>
  <si>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</si>
  <si>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</si>
  <si>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 250 x 400 mm</t>
  </si>
  <si>
    <t>Provide suitable mounting surface for control panel, dimensions 250 x 320 mm</t>
  </si>
  <si>
    <t>Montagefläche für Schaltkasten, Abmessungen 250 x 400 mm</t>
  </si>
  <si>
    <t>Zapewnić odpowiednią powierzchnię montażową dla jednostki sterującej silnika 250x400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</si>
  <si>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</si>
  <si>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</si>
  <si>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</si>
  <si>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</si>
  <si>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250х400 мм</t>
  </si>
  <si>
    <t>NEZBYTNÁ MONTÁŽNÍ PLOCHA</t>
  </si>
  <si>
    <t>NECESSARY MOUNTING SURFACE</t>
  </si>
  <si>
    <t>BENÖTIGTER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</si>
  <si>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</si>
  <si>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</si>
  <si>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</si>
  <si>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</si>
  <si>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</si>
  <si>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</si>
  <si>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>W=</t>
  </si>
  <si>
    <r>
      <t xml:space="preserve">MONTÁŽNÍ PLOCHA PRO MOTOR </t>
    </r>
    <r>
      <rPr>
        <b/>
        <sz val="11"/>
        <color indexed="8"/>
        <rFont val="Calibri"/>
        <family val="2"/>
        <charset val="238"/>
      </rPr>
      <t>( L nebo R )</t>
    </r>
  </si>
  <si>
    <r>
      <t xml:space="preserve">MOUNTING SURFACE FOR MOTOR </t>
    </r>
    <r>
      <rPr>
        <b/>
        <sz val="11"/>
        <color indexed="8"/>
        <rFont val="Calibri"/>
        <family val="2"/>
        <charset val="238"/>
      </rPr>
      <t>(L or R)</t>
    </r>
  </si>
  <si>
    <r>
      <t xml:space="preserve">MONTAGEFLÄCHE FÜR DEN MOTOR </t>
    </r>
    <r>
      <rPr>
        <b/>
        <sz val="11"/>
        <color indexed="8"/>
        <rFont val="Calibri"/>
        <family val="2"/>
        <charset val="238"/>
      </rPr>
      <t>(wahlweise L oder R)</t>
    </r>
  </si>
  <si>
    <r>
      <t xml:space="preserve">POWIERZCHNIA MONTAŻOWA DLA SILNIKA </t>
    </r>
    <r>
      <rPr>
        <b/>
        <sz val="11"/>
        <color indexed="8"/>
        <rFont val="Calibri"/>
        <family val="2"/>
        <charset val="238"/>
      </rPr>
      <t>( L lub R )</t>
    </r>
  </si>
  <si>
    <r>
      <t xml:space="preserve">SURFACE DE L'EMPLACEMENT POUR  </t>
    </r>
    <r>
      <rPr>
        <b/>
        <sz val="11"/>
        <color indexed="8"/>
        <rFont val="Calibri"/>
        <family val="2"/>
        <charset val="238"/>
      </rPr>
      <t>(L ou R)</t>
    </r>
  </si>
  <si>
    <r>
      <t>BENODIGDE VRIJE RUIMTE (</t>
    </r>
    <r>
      <rPr>
        <b/>
        <sz val="11"/>
        <color indexed="8"/>
        <rFont val="Calibri"/>
        <family val="2"/>
        <charset val="238"/>
      </rPr>
      <t>L of R)</t>
    </r>
  </si>
  <si>
    <r>
      <t xml:space="preserve">Vajalik ruum mootori paigalduseks  </t>
    </r>
    <r>
      <rPr>
        <b/>
        <sz val="11"/>
        <color indexed="8"/>
        <rFont val="Calibri"/>
        <family val="2"/>
        <charset val="238"/>
      </rPr>
      <t>(L või R)</t>
    </r>
  </si>
  <si>
    <r>
      <t xml:space="preserve">KIINNITYSPINTA MOOTORILLE </t>
    </r>
    <r>
      <rPr>
        <b/>
        <sz val="11"/>
        <color indexed="8"/>
        <rFont val="Calibri"/>
        <family val="2"/>
        <charset val="238"/>
      </rPr>
      <t>(L tai R)</t>
    </r>
  </si>
  <si>
    <r>
      <t xml:space="preserve">монтажная поверхность для мотора </t>
    </r>
    <r>
      <rPr>
        <b/>
        <sz val="11"/>
        <color indexed="8"/>
        <rFont val="Calibri"/>
        <family val="2"/>
        <charset val="238"/>
      </rPr>
      <t>(L и R)</t>
    </r>
  </si>
  <si>
    <t>NEZBYTNÝ VOLNÝ PROSTOR</t>
  </si>
  <si>
    <t>NECESSARY FREE ROOM</t>
  </si>
  <si>
    <t>BENÖTIGTER FREIRAUM</t>
  </si>
  <si>
    <t>NIEZBĘDNA WOLNA PRZESTRZEŃ</t>
  </si>
  <si>
    <t>ESPACE LIBRE NECCESSARIE</t>
  </si>
  <si>
    <t>EXTRA VRIJE RUIMTE BIJ MOTOR/KETTING</t>
  </si>
  <si>
    <t xml:space="preserve">Vajalik vaba ruum </t>
  </si>
  <si>
    <t>TARVITTAVA VAPAA TILA</t>
  </si>
  <si>
    <t>необходимое свободное пространство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</si>
  <si>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</si>
  <si>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</si>
  <si>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</si>
  <si>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</si>
  <si>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</si>
  <si>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</si>
  <si>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</si>
  <si>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</si>
  <si>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</si>
  <si>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</si>
  <si>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</si>
  <si>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</si>
  <si>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</si>
  <si>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</si>
  <si>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</si>
  <si>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</si>
  <si>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</si>
  <si>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</si>
  <si>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</si>
  <si>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</si>
  <si>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</si>
  <si>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</si>
  <si>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</si>
  <si>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</si>
  <si>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</si>
  <si>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</si>
  <si>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</si>
  <si>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</si>
  <si>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</si>
  <si>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</si>
  <si>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L+W+R=</t>
  </si>
  <si>
    <t>floor with raised</t>
  </si>
  <si>
    <t>Boden mit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</si>
  <si>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</si>
  <si>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</si>
  <si>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</si>
  <si>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</si>
  <si>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 ( L nebo R )</t>
  </si>
  <si>
    <t>necessary side room for electrical- or hauling chain operation (L or R)</t>
  </si>
  <si>
    <t>Benötigter Freiraum bei Elektro- oder Haspelkettenbedienung (wahlweise L oder R)</t>
  </si>
  <si>
    <t>niezbędna przestrzeń boczna dla silnika lub napędu łańcuchowego ( L lub R )</t>
  </si>
  <si>
    <t>écoinçon minimum requis pour le moteur ou treuil a chaîne (L ou R)</t>
  </si>
  <si>
    <t>benodigde vrije ruimte voor elektrische- of ketting bediening (L of R)</t>
  </si>
  <si>
    <t>vajalik küljeruum mootori või tali puhul (L või R)</t>
  </si>
  <si>
    <t>tarvittava tila mootori- tai ketjunostolle (L tai R)</t>
  </si>
  <si>
    <t>необходимое боковое пространство для электропривода или цепного редуктора (L и R)</t>
  </si>
  <si>
    <t>montážní plocha pro řídící jednotku motoru, rozměr 250 x 400 mm</t>
  </si>
  <si>
    <t>mounting surface for control panel dimensions 250 x 400 mm</t>
  </si>
  <si>
    <t>Montagefläche für Antriebsteuerung Mass 250 x 400 mm</t>
  </si>
  <si>
    <t>powierzchnia montażowa dla jednostki sterującej silnika wymiary 250 x 400 mm</t>
  </si>
  <si>
    <t>surface de montage pour le Coffret de commande  du moteur (dimensions : L.250 x H.400 mm)</t>
  </si>
  <si>
    <t>montagevlak t.b.v. schakelkast afmetingen 250 x 400 mm</t>
  </si>
  <si>
    <t>paigalduspind 250x400 mm kontrollerile</t>
  </si>
  <si>
    <t>kiinnityspinta ohjauspaneelia varten ,mitat 250 x 400 mm</t>
  </si>
  <si>
    <t>монтажная поверхность для блока управления 250x400мм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</si>
  <si>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</si>
  <si>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</si>
  <si>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</si>
  <si>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</si>
  <si>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</si>
  <si>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</si>
  <si>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</si>
  <si>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</si>
  <si>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</si>
  <si>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 CEE 16 A, 5P, 400 V, jištěno 6 A (10 A) jističem, proudový chránič I=30 mA</t>
  </si>
  <si>
    <t>Electric outlet CEE 16 A, 5P, 400 V, protect by 6 A (10 A) circuit breaker, residual current device I=30 mA.</t>
  </si>
  <si>
    <t>Steckdose CEE 16 A, 5P, 400 V, Sicherung 6 A (10 A) mit Schutzschalter, Stromschutz  I=30 mA.</t>
  </si>
  <si>
    <t>gniazdo CEE 16 A, 5P, 400 V, ochrona za pomocą bezpiecznika 6A (10A), wyłącznik prądowy l=30 mA</t>
  </si>
  <si>
    <t>prise CEE 16 A, 5P, 400 V, assuré par un disjoncteur 6 A (10 A),  disjoncteur I=30 mA</t>
  </si>
  <si>
    <t xml:space="preserve">Eurostopcontact CEE 16 A, 5P, 400V, afgezekerd met 6A (10A), Overstroombeveiliging I=30mA. </t>
  </si>
  <si>
    <t>jõupesa CEE 16A, 5P, 400V koos 6A (10A) kaitsmega. Rikkevookukaitse I=30 mA</t>
  </si>
  <si>
    <t>Pistorasiasta CEE 16A, 5P, 400V, suojattu 6 A (10 A) katkaisijalla, vikavirtasuoja I = 30 mA.</t>
  </si>
  <si>
    <t>электрическая розетка CEE 16А, 5P, 400V, защита автоматическим выключателем 6А(10А), устройство защитного отключения (УЗО) I=30mA</t>
  </si>
  <si>
    <t xml:space="preserve">Plocha, která se montuje, musí být rovná a pevná a všechny montážní plochy musí být v jedné rovině. </t>
  </si>
  <si>
    <t>Mounting surface must be flat and massive and all mounting surfaces must be in one level.</t>
  </si>
  <si>
    <t>Fläche, an die montiert wird, muss gerade und fest sein und alle Montageflächen müssen in einer Ebene sein.</t>
  </si>
  <si>
    <t>Powierzchnia, do której wykonywany jest montaż, musi być równa i stabilna,a wszystkie powierzchnie montażowe powinny znajdować się w jednej płaszczyźnie.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</si>
  <si>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</si>
  <si>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</si>
  <si>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Paigalduspind peab olema sirge, loodis ja mittepudenev ning kõik paigalduspinnad peavad olema ühes tasapinnas</t>
  </si>
  <si>
    <t>Asennuspintojen pitää olla tasaisia, kiinteitä ja samassa linjassa.</t>
  </si>
  <si>
    <t>Монтажная поверхность должна быть ровной и располагаться в одной вертикальной плоскости.</t>
  </si>
  <si>
    <t>W =</t>
  </si>
  <si>
    <t>L/R</t>
  </si>
  <si>
    <t>F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</si>
  <si>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</si>
  <si>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</si>
  <si>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</si>
  <si>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</si>
  <si>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</si>
  <si>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</si>
  <si>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</si>
  <si>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</si>
  <si>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</si>
  <si>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H =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</si>
  <si>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</si>
  <si>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</si>
  <si>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</si>
  <si>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</si>
  <si>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</si>
  <si>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</si>
  <si>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</si>
  <si>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</si>
  <si>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</si>
  <si>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 xml:space="preserve">F = </t>
  </si>
  <si>
    <t xml:space="preserve">A = </t>
  </si>
  <si>
    <t>A</t>
  </si>
  <si>
    <t xml:space="preserve">L = 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</si>
  <si>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</si>
  <si>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</si>
  <si>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</si>
  <si>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</si>
  <si>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</si>
  <si>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</si>
  <si>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</si>
  <si>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</si>
  <si>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</si>
  <si>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 xml:space="preserve">R = </t>
  </si>
  <si>
    <t>ширина проема</t>
  </si>
  <si>
    <t xml:space="preserve">D = </t>
  </si>
  <si>
    <t>D</t>
  </si>
  <si>
    <t>H+850</t>
  </si>
  <si>
    <t>K. Luňák</t>
  </si>
  <si>
    <t>R. Kříž</t>
  </si>
  <si>
    <t>STP</t>
  </si>
  <si>
    <t>-</t>
  </si>
  <si>
    <t>A3</t>
  </si>
  <si>
    <t>высота проема</t>
  </si>
  <si>
    <t>X =</t>
  </si>
  <si>
    <t>http://door-documents.com/en/indy-installation-drawing-sl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</si>
  <si>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</si>
  <si>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</si>
  <si>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</si>
  <si>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</si>
  <si>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</si>
  <si>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</si>
  <si>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</si>
  <si>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 xml:space="preserve">Y = 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</si>
  <si>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</si>
  <si>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</si>
  <si>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</si>
  <si>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</si>
  <si>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</si>
  <si>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</si>
  <si>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</si>
  <si>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</si>
  <si>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</si>
  <si>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Z = </t>
  </si>
  <si>
    <t>Y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</si>
  <si>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</si>
  <si>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</si>
  <si>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</si>
  <si>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</si>
  <si>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</si>
  <si>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</si>
  <si>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</si>
  <si>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</si>
  <si>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</si>
  <si>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</si>
  <si>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</si>
  <si>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</si>
  <si>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</si>
  <si>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</si>
  <si>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</si>
  <si>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</si>
  <si>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</si>
  <si>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</si>
  <si>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</si>
  <si>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</si>
  <si>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</si>
  <si>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</si>
  <si>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</si>
  <si>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</si>
  <si>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</si>
  <si>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</si>
  <si>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</si>
  <si>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Volný prostor vravo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</si>
  <si>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</si>
  <si>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</si>
  <si>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</si>
  <si>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</si>
  <si>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</si>
  <si>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</si>
  <si>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</si>
  <si>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</si>
  <si>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010-1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</si>
  <si>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</si>
  <si>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</si>
  <si>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</si>
  <si>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</si>
  <si>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</si>
  <si>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</si>
  <si>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</si>
  <si>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</si>
  <si>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</si>
  <si>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</si>
  <si>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</si>
  <si>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</si>
  <si>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</si>
  <si>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</si>
  <si>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</si>
  <si>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</si>
  <si>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</si>
  <si>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</si>
  <si>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</si>
  <si>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</si>
  <si>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</si>
  <si>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</si>
  <si>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</si>
  <si>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</si>
  <si>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</si>
  <si>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</si>
  <si>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</si>
  <si>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Kotvící bod č. 3</t>
  </si>
  <si>
    <t>3 rd hanging point</t>
  </si>
  <si>
    <t>3. Aufhängepunkt</t>
  </si>
  <si>
    <t>Punkt mocowania nr 3</t>
  </si>
  <si>
    <t>POINT D'ANCRAGE 3 SUSPENTE</t>
  </si>
  <si>
    <t>3e ophangpunt</t>
  </si>
  <si>
    <t>3. kinnituskohta</t>
  </si>
  <si>
    <t>3. ripustuspiste</t>
  </si>
  <si>
    <t>3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</si>
  <si>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</si>
  <si>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</si>
  <si>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</si>
  <si>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</si>
  <si>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</si>
  <si>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</si>
  <si>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</si>
  <si>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</si>
  <si>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</si>
  <si>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</si>
  <si>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</si>
  <si>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</si>
  <si>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</si>
  <si>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</si>
  <si>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</si>
  <si>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</si>
  <si>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</si>
  <si>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</si>
  <si>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</si>
  <si>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</si>
  <si>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</si>
  <si>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</si>
  <si>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</si>
  <si>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</si>
  <si>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</si>
  <si>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</si>
  <si>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</si>
  <si>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</si>
  <si>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</si>
  <si>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</si>
  <si>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</si>
  <si>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</si>
  <si>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</si>
  <si>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</si>
  <si>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</si>
  <si>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</si>
  <si>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</si>
  <si>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</si>
  <si>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</si>
  <si>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</si>
  <si>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</si>
  <si>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</si>
  <si>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</si>
  <si>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</si>
  <si>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</si>
  <si>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</si>
  <si>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</si>
  <si>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</si>
  <si>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</si>
  <si>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</si>
  <si>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</si>
  <si>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</si>
  <si>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 xml:space="preserve">Kinnituskoht, kui </t>
  </si>
  <si>
    <t>Ripustuspiste jos</t>
  </si>
  <si>
    <t>точки крепления горизонтальных направляющих, если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</si>
  <si>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</si>
  <si>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</si>
  <si>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</si>
  <si>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</si>
  <si>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</si>
  <si>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</si>
  <si>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</si>
  <si>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</si>
  <si>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</si>
  <si>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</si>
  <si>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</si>
  <si>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</si>
  <si>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</si>
  <si>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</si>
  <si>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</si>
  <si>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</si>
  <si>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</si>
  <si>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</si>
  <si>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</si>
  <si>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</si>
  <si>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</si>
  <si>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</si>
  <si>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</si>
  <si>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</si>
  <si>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</si>
  <si>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</si>
  <si>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</si>
  <si>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</si>
  <si>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</si>
  <si>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</si>
  <si>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</si>
  <si>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</si>
  <si>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</si>
  <si>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</si>
  <si>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</si>
  <si>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</si>
  <si>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</si>
  <si>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</si>
  <si>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</si>
  <si>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</si>
  <si>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</si>
  <si>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</si>
  <si>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</si>
  <si>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</si>
  <si>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</si>
  <si>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</si>
  <si>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</si>
  <si>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</si>
  <si>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</si>
  <si>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</si>
  <si>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</si>
  <si>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</si>
  <si>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</si>
  <si>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</si>
  <si>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</si>
  <si>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</si>
  <si>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</si>
  <si>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</si>
  <si>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</si>
  <si>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</si>
  <si>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</si>
  <si>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</si>
  <si>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</si>
  <si>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</si>
  <si>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</si>
  <si>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</si>
  <si>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</si>
  <si>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</si>
  <si>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</si>
  <si>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</si>
  <si>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</si>
  <si>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</si>
  <si>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</si>
  <si>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</si>
  <si>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</si>
  <si>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</si>
  <si>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</si>
  <si>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</si>
  <si>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</si>
  <si>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</si>
  <si>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 xml:space="preserve">STAVEBNÍ PŘIPRAVENOST  </t>
  </si>
  <si>
    <t xml:space="preserve">INSTALLATION DRAWING   </t>
  </si>
  <si>
    <t xml:space="preserve">BAUBEREITSCHAFT </t>
  </si>
  <si>
    <t xml:space="preserve">PRZYGOTOWANIE KONSTRUKCYJNE </t>
  </si>
  <si>
    <t xml:space="preserve">PLAN DE RESERVATIONS &amp; ENCOMBREMENTS </t>
  </si>
  <si>
    <t xml:space="preserve">INBOUWTEKENING VOORGE </t>
  </si>
  <si>
    <t>Paigaldusjoonis</t>
  </si>
  <si>
    <t xml:space="preserve">ASENNUSPIIRUSTUS </t>
  </si>
  <si>
    <t>монтажный чертеж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</si>
  <si>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</si>
  <si>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</si>
  <si>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</si>
  <si>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</si>
  <si>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verenpakket boven latei</t>
  </si>
  <si>
    <t>vedrud ava kohal</t>
  </si>
  <si>
    <t>VERTIKÁLNÍ SYSTÉM</t>
  </si>
  <si>
    <t>VERTICAL LIFT SYSTEM</t>
  </si>
  <si>
    <t>VERTIKALER BESCHLAG (VL-T)</t>
  </si>
  <si>
    <t>PROWADZENIE PIONOWE (VL-T)</t>
  </si>
  <si>
    <t>LEVEE VERTICALE (VL)</t>
  </si>
  <si>
    <t>VERTICAAL PLAFONDSYSTEEM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</si>
  <si>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</si>
  <si>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</si>
  <si>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</si>
  <si>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</si>
  <si>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</si>
  <si>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</si>
  <si>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</si>
  <si>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</si>
  <si>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</si>
  <si>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</si>
  <si>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</si>
  <si>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</si>
  <si>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</si>
  <si>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</si>
  <si>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</si>
  <si>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</si>
  <si>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</si>
  <si>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</si>
  <si>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</si>
  <si>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</si>
  <si>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</si>
  <si>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</si>
  <si>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</si>
  <si>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</si>
  <si>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</si>
  <si>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</si>
  <si>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</si>
  <si>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</si>
  <si>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</si>
  <si>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</si>
  <si>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</si>
  <si>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</si>
  <si>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</si>
  <si>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</si>
  <si>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</si>
  <si>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</si>
  <si>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</si>
  <si>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</si>
  <si>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</si>
  <si>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</si>
  <si>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</si>
  <si>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</si>
  <si>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</si>
  <si>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</si>
  <si>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</si>
  <si>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</si>
  <si>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</si>
  <si>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</si>
  <si>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</si>
  <si>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</si>
  <si>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</si>
  <si>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</si>
  <si>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</si>
  <si>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</si>
  <si>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</si>
  <si>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</si>
  <si>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</si>
  <si>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</si>
  <si>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</si>
  <si>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</si>
  <si>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</si>
  <si>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haspeklettenbedient</t>
  </si>
  <si>
    <t>Łańcuch napędu</t>
  </si>
  <si>
    <t>TREUIL A CHAINE</t>
  </si>
  <si>
    <t>handketting</t>
  </si>
  <si>
    <t>taliga</t>
  </si>
  <si>
    <t>ketjukäyttöinen</t>
  </si>
  <si>
    <t xml:space="preserve">
цепной привод
цепной привод</t>
  </si>
  <si>
    <t>Umístění motoru</t>
  </si>
  <si>
    <t>Possition of motor</t>
  </si>
  <si>
    <t>Antriebesposition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</si>
  <si>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</si>
  <si>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</si>
  <si>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</si>
  <si>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</si>
  <si>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</si>
  <si>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</si>
  <si>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</si>
  <si>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</si>
  <si>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Seiten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</si>
  <si>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</si>
  <si>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</si>
  <si>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</si>
  <si>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</si>
  <si>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</si>
  <si>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</si>
  <si>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Na pravé straně</t>
  </si>
  <si>
    <t>On the right side</t>
  </si>
  <si>
    <t>Auf der rechten Seiten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</si>
  <si>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</si>
  <si>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</si>
  <si>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</si>
  <si>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</si>
  <si>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</si>
  <si>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</si>
  <si>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>Variantní  montáž pružin</t>
  </si>
  <si>
    <t>Additional spring mounting</t>
  </si>
  <si>
    <t>Extra Aufhängung Federpaket</t>
  </si>
  <si>
    <t>Wariant montażu sprężyn</t>
  </si>
  <si>
    <t>MONTAGE DES RESSORTS</t>
  </si>
  <si>
    <t>Extra veer monteren</t>
  </si>
  <si>
    <t>když B&lt;2000 - STP-1 pružina (SPR-1)</t>
  </si>
  <si>
    <t>if W&lt; 2000 - INSD-1 spring (SPR-1)</t>
  </si>
  <si>
    <t>Wenn W&lt; 2000 - BAUS-1 Feder (SPR-1)</t>
  </si>
  <si>
    <t>jeżeli W&lt; 2000-STP-1 sprężyna (SPR-1)</t>
  </si>
  <si>
    <t>SI W&lt; 2000 STP-1RESSORT (SPR-1)</t>
  </si>
  <si>
    <t>als B&lt;2000 - INSD-1 veer (SPR-1)</t>
  </si>
  <si>
    <t>když 2000&gt;=W&lt;6000 - STP-2 pružiny (SPR-2)</t>
  </si>
  <si>
    <t>if 2000&gt;=W&lt;6000 - INSD-2 springs (SPR-2)</t>
  </si>
  <si>
    <t>Wenn 2000&gt;=W&lt;6000- BAUS-2 Federn (SPR-2)</t>
  </si>
  <si>
    <t>jeżeli 2000&gt;=W&lt;6000-STP-2 sprężyna (SPR-2)</t>
  </si>
  <si>
    <t>SI 2000&gt;=W&lt;6000 STP-2RESSORTS (SPR-2)</t>
  </si>
  <si>
    <t>als 2000&gt;=B&lt;6000 - INSD-2 veren (SPR-2)</t>
  </si>
  <si>
    <t>když W&gt;=6000 = STP-4 pružiny (SPR-4)</t>
  </si>
  <si>
    <t>if W&gt;=6000 - INSD-4 springs (SPR-4)</t>
  </si>
  <si>
    <t>Wenn W&gt;=6000 - BAUS-4 Federn (SPR-4)</t>
  </si>
  <si>
    <t>jeżeli W&gt;=6000-STP-4 sprężyna (SPR-4)</t>
  </si>
  <si>
    <t>SI W&gt; 6000 STP-4RESSORTS (SPR-4)</t>
  </si>
  <si>
    <t>als B&gt;=6000 - INSD-4 veren (SPR-4)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</si>
  <si>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</si>
  <si>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</si>
  <si>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</si>
  <si>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</si>
  <si>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</si>
  <si>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</si>
  <si>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</si>
  <si>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</si>
  <si>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</si>
  <si>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</si>
  <si>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</si>
  <si>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>40мм</t>
  </si>
  <si>
    <t>80mm</t>
  </si>
  <si>
    <t>80 mm</t>
  </si>
  <si>
    <t>80мм</t>
  </si>
  <si>
    <t>Typ sekčních vrat</t>
  </si>
  <si>
    <t>Type of sectional door</t>
  </si>
  <si>
    <t xml:space="preserve">Sektionaltoren- Typ     </t>
  </si>
  <si>
    <t>rodzaj bramy segmentowej</t>
  </si>
  <si>
    <t>type de porte sectionnelle</t>
  </si>
  <si>
    <t>type sectionaaldeur</t>
  </si>
  <si>
    <t>Ukse tüüp</t>
  </si>
  <si>
    <t>Lamellioven tyyppi</t>
  </si>
  <si>
    <t>Тип ворот</t>
  </si>
  <si>
    <t>Průmyslové</t>
  </si>
  <si>
    <t>Industrial</t>
  </si>
  <si>
    <t>Industrie</t>
  </si>
  <si>
    <t>przemysłowy</t>
  </si>
  <si>
    <t>industrielle</t>
  </si>
  <si>
    <t>industrieel</t>
  </si>
  <si>
    <t>tööstusuks</t>
  </si>
  <si>
    <t>Teollisuus</t>
  </si>
  <si>
    <t>Промышленные</t>
  </si>
  <si>
    <t>Garážové</t>
  </si>
  <si>
    <t>Residential</t>
  </si>
  <si>
    <t>Garagen</t>
  </si>
  <si>
    <t>garaż</t>
  </si>
  <si>
    <t>garage</t>
  </si>
  <si>
    <t>eragaraaziuks</t>
  </si>
  <si>
    <t>Autotallin</t>
  </si>
  <si>
    <t>Гаражные</t>
  </si>
  <si>
    <t>PV</t>
  </si>
  <si>
    <t>ID</t>
  </si>
  <si>
    <t>IT</t>
  </si>
  <si>
    <t>PB</t>
  </si>
  <si>
    <t>IP</t>
  </si>
  <si>
    <t>Typ vedení</t>
  </si>
  <si>
    <t>Type of rails</t>
  </si>
  <si>
    <t>Laufschienen-Typ</t>
  </si>
  <si>
    <t>Typ moznazowych</t>
  </si>
  <si>
    <t>Type des rails</t>
  </si>
  <si>
    <t>Type looprails</t>
  </si>
  <si>
    <t>Siinide tüüp</t>
  </si>
  <si>
    <t>Kiskojen tyyppi</t>
  </si>
  <si>
    <t>Тип направляющих</t>
  </si>
  <si>
    <t>2"</t>
  </si>
  <si>
    <t>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</si>
</sst>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8"/>
      <color theme="9" tint="-0.249977111117893"/>
      <name val="Calibri"/>
      <family val="2"/>
      <charset val="238"/>
    </font>
    <font>
      <b/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rgb="FFFF00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1" xfId="0" applyBorder="1"/>
    <xf numFmtId="0" fontId="0" fillId="0" borderId="2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3" fillId="2" borderId="7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3" borderId="0" xfId="0" applyFill="1" applyBorder="1"/>
    <xf numFmtId="0" fontId="0" fillId="3" borderId="0" xfId="0" applyFill="1"/>
    <xf numFmtId="0" fontId="0" fillId="0" borderId="0" xfId="0" applyFill="1"/>
    <xf numFmtId="0" fontId="4" fillId="0" borderId="0" xfId="0" applyFont="1" applyBorder="1"/>
    <xf numFmtId="0" fontId="0" fillId="4" borderId="0" xfId="0" applyFill="1" applyBorder="1" applyAlignment="1" applyProtection="1">
      <alignment horizontal="center"/>
      <protection locked="0"/>
    </xf>
    <xf numFmtId="0" fontId="5" fillId="0" borderId="0" xfId="0" applyFont="1"/>
    <xf numFmtId="0" fontId="6" fillId="0" borderId="0" xfId="0" applyFont="1" applyBorder="1" applyAlignment="1"/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7" fillId="0" borderId="0" xfId="0" applyFont="1" applyBorder="1"/>
    <xf numFmtId="0" fontId="8" fillId="3" borderId="0" xfId="0" applyFont="1" applyFill="1"/>
    <xf numFmtId="0" fontId="0" fillId="0" borderId="0" xfId="0" applyFill="1" applyBorder="1"/>
    <xf numFmtId="0" fontId="9" fillId="0" borderId="0" xfId="0" applyFont="1"/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0" fillId="0" borderId="11" xfId="0" applyFill="1" applyBorder="1" applyAlignment="1">
      <alignment horizontal="center"/>
    </xf>
    <xf numFmtId="0" fontId="4" fillId="0" borderId="0" xfId="0" applyFont="1"/>
    <xf numFmtId="0" fontId="0" fillId="4" borderId="0" xfId="0" applyFill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10" fillId="0" borderId="0" xfId="0" applyFont="1" applyBorder="1" applyAlignment="1">
      <alignment horizontal="right" vertical="center"/>
    </xf>
    <xf numFmtId="0" fontId="0" fillId="0" borderId="12" xfId="0" applyBorder="1"/>
    <xf numFmtId="0" fontId="0" fillId="5" borderId="0" xfId="0" applyFill="1" applyAlignment="1" applyProtection="1">
      <alignment horizontal="center"/>
      <protection locked="0"/>
    </xf>
    <xf numFmtId="0" fontId="11" fillId="0" borderId="12" xfId="0" applyFont="1" applyBorder="1"/>
    <xf numFmtId="0" fontId="11" fillId="0" borderId="0" xfId="0" applyFont="1" applyBorder="1"/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indent="9"/>
    </xf>
    <xf numFmtId="0" fontId="13" fillId="0" borderId="0" xfId="0" applyFont="1" applyBorder="1" applyAlignment="1">
      <alignment horizontal="right"/>
    </xf>
    <xf numFmtId="1" fontId="14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1" fontId="14" fillId="0" borderId="0" xfId="0" applyNumberFormat="1" applyFont="1" applyBorder="1" applyAlignment="1"/>
    <xf numFmtId="0" fontId="10" fillId="0" borderId="0" xfId="0" applyFont="1" applyBorder="1" applyAlignment="1">
      <alignment horizontal="left" textRotation="90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" fontId="10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left" textRotation="90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left" vertical="top" textRotation="90"/>
    </xf>
    <xf numFmtId="0" fontId="13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left" vertical="center" textRotation="90"/>
    </xf>
    <xf numFmtId="0" fontId="10" fillId="0" borderId="0" xfId="0" applyFont="1" applyBorder="1" applyAlignment="1">
      <alignment horizontal="left" vertical="top" textRotation="90"/>
    </xf>
    <xf numFmtId="0" fontId="0" fillId="0" borderId="0" xfId="0" applyBorder="1" applyAlignment="1">
      <alignment horizontal="right" vertical="top" textRotation="90"/>
    </xf>
    <xf numFmtId="0" fontId="10" fillId="0" borderId="12" xfId="0" applyNumberFormat="1" applyFont="1" applyBorder="1" applyAlignment="1">
      <alignment vertical="top" textRotation="90"/>
    </xf>
    <xf numFmtId="0" fontId="10" fillId="0" borderId="0" xfId="0" applyFont="1" applyBorder="1" applyAlignment="1">
      <alignment vertical="center" textRotation="90"/>
    </xf>
    <xf numFmtId="0" fontId="0" fillId="0" borderId="0" xfId="0" applyBorder="1" applyAlignment="1">
      <alignment horizontal="left" indent="3"/>
    </xf>
    <xf numFmtId="0" fontId="10" fillId="0" borderId="0" xfId="0" applyFont="1" applyBorder="1" applyAlignment="1">
      <alignment horizontal="right" vertical="center" textRotation="90"/>
    </xf>
    <xf numFmtId="0" fontId="7" fillId="0" borderId="0" xfId="0" applyFont="1" applyBorder="1" applyAlignment="1">
      <alignment horizontal="left" indent="3"/>
    </xf>
    <xf numFmtId="0" fontId="13" fillId="0" borderId="0" xfId="0" applyFont="1" applyBorder="1" applyAlignment="1">
      <alignment horizontal="right" textRotation="90"/>
    </xf>
    <xf numFmtId="0" fontId="0" fillId="0" borderId="0" xfId="0" applyFont="1" applyBorder="1" applyAlignment="1">
      <alignment horizontal="left" indent="3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 vertical="top" textRotation="90"/>
    </xf>
    <xf numFmtId="0" fontId="7" fillId="0" borderId="0" xfId="0" applyFont="1"/>
    <xf numFmtId="0" fontId="0" fillId="0" borderId="0" xfId="0" applyBorder="1" applyAlignment="1">
      <alignment horizontal="left" textRotation="90"/>
    </xf>
    <xf numFmtId="0" fontId="10" fillId="0" borderId="0" xfId="0" applyFont="1" applyBorder="1" applyAlignment="1">
      <alignment horizontal="right" textRotation="90"/>
    </xf>
    <xf numFmtId="0" fontId="10" fillId="0" borderId="12" xfId="0" applyFont="1" applyBorder="1" applyAlignment="1">
      <alignment horizontal="right" textRotation="90"/>
    </xf>
    <xf numFmtId="0" fontId="0" fillId="0" borderId="0" xfId="0" applyAlignment="1">
      <alignment horizontal="left" textRotation="90"/>
    </xf>
    <xf numFmtId="0" fontId="7" fillId="0" borderId="0" xfId="0" applyFont="1" applyBorder="1" applyAlignment="1">
      <alignment horizontal="left" vertical="center" indent="3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indent="4"/>
    </xf>
    <xf numFmtId="0" fontId="0" fillId="0" borderId="0" xfId="0" applyBorder="1" applyAlignment="1"/>
    <xf numFmtId="0" fontId="7" fillId="0" borderId="0" xfId="0" applyFont="1" applyBorder="1" applyAlignment="1">
      <alignment wrapText="1"/>
    </xf>
    <xf numFmtId="0" fontId="13" fillId="0" borderId="12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0" xfId="0" applyFont="1"/>
    <xf numFmtId="0" fontId="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textRotation="90"/>
    </xf>
    <xf numFmtId="0" fontId="1" fillId="0" borderId="0" xfId="0" applyFont="1" applyBorder="1"/>
    <xf numFmtId="0" fontId="1" fillId="0" borderId="0" xfId="0" applyFont="1"/>
    <xf numFmtId="0" fontId="18" fillId="0" borderId="12" xfId="0" applyFont="1" applyBorder="1"/>
    <xf numFmtId="0" fontId="18" fillId="0" borderId="0" xfId="0" applyFont="1" applyBorder="1"/>
    <xf numFmtId="0" fontId="13" fillId="0" borderId="0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7" fillId="0" borderId="12" xfId="0" applyFont="1" applyBorder="1"/>
    <xf numFmtId="0" fontId="7" fillId="0" borderId="1" xfId="0" applyFont="1" applyBorder="1"/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3" borderId="14" xfId="0" applyFill="1" applyBorder="1"/>
    <xf numFmtId="0" fontId="0" fillId="3" borderId="1" xfId="0" applyFill="1" applyBorder="1"/>
    <xf numFmtId="0" fontId="0" fillId="3" borderId="11" xfId="0" applyFill="1" applyBorder="1"/>
    <xf numFmtId="0" fontId="0" fillId="0" borderId="15" xfId="0" applyFill="1" applyBorder="1" applyAlignment="1">
      <alignment horizontal="center"/>
    </xf>
    <xf numFmtId="0" fontId="0" fillId="0" borderId="1" xfId="0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/>
    <xf numFmtId="0" fontId="8" fillId="0" borderId="11" xfId="0" applyFont="1" applyFill="1" applyBorder="1" applyAlignment="1" applyProtection="1"/>
    <xf numFmtId="0" fontId="19" fillId="0" borderId="14" xfId="0" applyFont="1" applyFill="1" applyBorder="1" applyAlignment="1">
      <alignment horizontal="right"/>
    </xf>
    <xf numFmtId="0" fontId="19" fillId="0" borderId="13" xfId="0" applyFont="1" applyBorder="1"/>
    <xf numFmtId="0" fontId="19" fillId="0" borderId="14" xfId="0" applyFont="1" applyBorder="1"/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19" fillId="3" borderId="14" xfId="0" applyFon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16" xfId="0" applyBorder="1"/>
    <xf numFmtId="0" fontId="0" fillId="0" borderId="1" xfId="0" applyBorder="1" applyAlignment="1">
      <alignment horizontal="right"/>
    </xf>
    <xf numFmtId="0" fontId="0" fillId="0" borderId="16" xfId="0" applyBorder="1" applyAlignment="1">
      <alignment horizontal="right"/>
    </xf>
    <xf numFmtId="0" fontId="13" fillId="3" borderId="13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4" xfId="0" applyFont="1" applyBorder="1" applyAlignment="1">
      <alignment horizontal="right"/>
    </xf>
    <xf numFmtId="0" fontId="1" fillId="0" borderId="1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9" fillId="0" borderId="14" xfId="0" applyFont="1" applyFill="1" applyBorder="1" applyAlignment="1"/>
    <xf numFmtId="0" fontId="19" fillId="0" borderId="11" xfId="0" applyFont="1" applyFill="1" applyBorder="1" applyAlignment="1"/>
    <xf numFmtId="14" fontId="0" fillId="0" borderId="13" xfId="0" applyNumberFormat="1" applyBorder="1" applyAlignment="1">
      <alignment horizontal="center"/>
    </xf>
    <xf numFmtId="14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20" fillId="0" borderId="2" xfId="0" applyFont="1" applyFill="1" applyBorder="1" applyAlignment="1">
      <alignment horizontal="center" vertical="center" wrapText="1" shrinkToFit="1"/>
    </xf>
    <xf numFmtId="0" fontId="20" fillId="0" borderId="5" xfId="0" applyFont="1" applyFill="1" applyBorder="1" applyAlignment="1">
      <alignment horizontal="center" vertical="center" wrapText="1" shrinkToFit="1"/>
    </xf>
    <xf numFmtId="0" fontId="20" fillId="0" borderId="6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/>
    </xf>
    <xf numFmtId="0" fontId="19" fillId="0" borderId="14" xfId="0" applyFont="1" applyFill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20" fillId="0" borderId="4" xfId="0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/>
    </xf>
    <xf numFmtId="0" fontId="21" fillId="0" borderId="14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0" fontId="0" fillId="3" borderId="13" xfId="0" applyFill="1" applyBorder="1"/>
    <xf numFmtId="0" fontId="0" fillId="0" borderId="13" xfId="0" applyFill="1" applyBorder="1" applyAlignment="1">
      <alignment horizontal="left"/>
    </xf>
    <xf numFmtId="0" fontId="0" fillId="0" borderId="15" xfId="0" applyBorder="1"/>
    <xf numFmtId="0" fontId="19" fillId="0" borderId="1" xfId="0" applyFont="1" applyBorder="1" applyAlignment="1">
      <alignment horizontal="right"/>
    </xf>
    <xf numFmtId="0" fontId="20" fillId="0" borderId="17" xfId="0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wrapText="1" shrinkToFit="1"/>
    </xf>
    <xf numFmtId="0" fontId="20" fillId="0" borderId="16" xfId="0" applyFont="1" applyFill="1" applyBorder="1" applyAlignment="1">
      <alignment horizontal="center" vertical="center" wrapText="1" shrinkToFit="1"/>
    </xf>
    <xf numFmtId="0" fontId="0" fillId="0" borderId="18" xfId="0" applyBorder="1"/>
    <xf numFmtId="1" fontId="0" fillId="0" borderId="11" xfId="0" applyNumberFormat="1" applyFill="1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Fill="1" applyBorder="1"/>
    <xf numFmtId="0" fontId="19" fillId="0" borderId="1" xfId="0" applyFont="1" applyFill="1" applyBorder="1" applyAlignment="1">
      <alignment horizontal="right"/>
    </xf>
    <xf numFmtId="1" fontId="0" fillId="0" borderId="16" xfId="0" applyNumberFormat="1" applyFill="1" applyBorder="1"/>
    <xf numFmtId="0" fontId="0" fillId="0" borderId="16" xfId="0" applyFill="1" applyBorder="1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0" xfId="0" applyFont="1" applyBorder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2" xfId="0" applyBorder="1"/>
    <xf numFmtId="0" fontId="0" fillId="0" borderId="6" xfId="0" applyBorder="1"/>
    <xf numFmtId="0" fontId="11" fillId="0" borderId="4" xfId="0" applyFont="1" applyBorder="1"/>
    <xf numFmtId="0" fontId="11" fillId="0" borderId="0" xfId="0" applyFont="1"/>
    <xf numFmtId="0" fontId="10" fillId="0" borderId="12" xfId="0" applyFont="1" applyBorder="1" applyAlignment="1">
      <alignment horizontal="right" vertical="center" textRotation="90"/>
    </xf>
    <xf numFmtId="0" fontId="10" fillId="0" borderId="12" xfId="0" applyFont="1" applyBorder="1" applyAlignment="1">
      <alignment textRotation="90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textRotation="90"/>
    </xf>
    <xf numFmtId="0" fontId="10" fillId="0" borderId="12" xfId="0" applyFont="1" applyBorder="1" applyAlignment="1">
      <alignment textRotation="90"/>
    </xf>
  </cellXfs>
  <cellStyles count="1">
    <cellStyle name="Normální" xfId="0" builtinId="0"/>
  </cellStyles>
  <dxfs count="2">
    <dxf>
      <font>
        <condense val="0"/>
        <extend val="0"/>
        <color indexed="47"/>
      </font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</xdr:row>
      <xdr:rowOff>152400</xdr:rowOff>
    </xdr:from>
    <xdr:to>
      <xdr:col>20</xdr:col>
      <xdr:colOff>466725</xdr:colOff>
      <xdr:row>36</xdr:row>
      <xdr:rowOff>161925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2457450"/>
          <a:ext cx="5324475" cy="601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37</xdr:row>
      <xdr:rowOff>171450</xdr:rowOff>
    </xdr:from>
    <xdr:to>
      <xdr:col>8</xdr:col>
      <xdr:colOff>381000</xdr:colOff>
      <xdr:row>46</xdr:row>
      <xdr:rowOff>66675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677275"/>
          <a:ext cx="439102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12</xdr:row>
      <xdr:rowOff>57150</xdr:rowOff>
    </xdr:from>
    <xdr:to>
      <xdr:col>8</xdr:col>
      <xdr:colOff>571500</xdr:colOff>
      <xdr:row>36</xdr:row>
      <xdr:rowOff>152400</xdr:rowOff>
    </xdr:to>
    <xdr:pic>
      <xdr:nvPicPr>
        <xdr:cNvPr id="4" name="Obrázek 1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48000"/>
          <a:ext cx="4743450" cy="541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361950</xdr:colOff>
      <xdr:row>17</xdr:row>
      <xdr:rowOff>409575</xdr:rowOff>
    </xdr:from>
    <xdr:to>
      <xdr:col>8</xdr:col>
      <xdr:colOff>200025</xdr:colOff>
      <xdr:row>22</xdr:row>
      <xdr:rowOff>133350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 flipV="1">
          <a:off x="3238500" y="4371975"/>
          <a:ext cx="1666875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581025</xdr:colOff>
      <xdr:row>26</xdr:row>
      <xdr:rowOff>19050</xdr:rowOff>
    </xdr:from>
    <xdr:to>
      <xdr:col>8</xdr:col>
      <xdr:colOff>247650</xdr:colOff>
      <xdr:row>26</xdr:row>
      <xdr:rowOff>152400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V="1">
          <a:off x="4676775" y="6172200"/>
          <a:ext cx="2762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581025</xdr:colOff>
      <xdr:row>27</xdr:row>
      <xdr:rowOff>342900</xdr:rowOff>
    </xdr:from>
    <xdr:to>
      <xdr:col>8</xdr:col>
      <xdr:colOff>333375</xdr:colOff>
      <xdr:row>28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4676775" y="6696075"/>
          <a:ext cx="36195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876300</xdr:colOff>
      <xdr:row>45</xdr:row>
      <xdr:rowOff>171450</xdr:rowOff>
    </xdr:from>
    <xdr:to>
      <xdr:col>16</xdr:col>
      <xdr:colOff>533400</xdr:colOff>
      <xdr:row>47</xdr:row>
      <xdr:rowOff>19050</xdr:rowOff>
    </xdr:to>
    <xdr:pic>
      <xdr:nvPicPr>
        <xdr:cNvPr id="8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10315575"/>
          <a:ext cx="714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828675</xdr:colOff>
      <xdr:row>43</xdr:row>
      <xdr:rowOff>190500</xdr:rowOff>
    </xdr:from>
    <xdr:to>
      <xdr:col>16</xdr:col>
      <xdr:colOff>561975</xdr:colOff>
      <xdr:row>45</xdr:row>
      <xdr:rowOff>47625</xdr:rowOff>
    </xdr:to>
    <xdr:pic>
      <xdr:nvPicPr>
        <xdr:cNvPr id="9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9934575"/>
          <a:ext cx="790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447675</xdr:colOff>
      <xdr:row>44</xdr:row>
      <xdr:rowOff>9525</xdr:rowOff>
    </xdr:from>
    <xdr:to>
      <xdr:col>22</xdr:col>
      <xdr:colOff>552450</xdr:colOff>
      <xdr:row>45</xdr:row>
      <xdr:rowOff>28575</xdr:rowOff>
    </xdr:to>
    <xdr:pic>
      <xdr:nvPicPr>
        <xdr:cNvPr id="10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9953625"/>
          <a:ext cx="714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466725</xdr:colOff>
      <xdr:row>17</xdr:row>
      <xdr:rowOff>133350</xdr:rowOff>
    </xdr:from>
    <xdr:to>
      <xdr:col>8</xdr:col>
      <xdr:colOff>209550</xdr:colOff>
      <xdr:row>19</xdr:row>
      <xdr:rowOff>114300</xdr:rowOff>
    </xdr:to>
    <xdr:sp macro="" textlink="">
      <xdr:nvSpPr>
        <xdr:cNvPr id="11" name="Line 102"/>
        <xdr:cNvSpPr>
          <a:spLocks noChangeShapeType="1"/>
        </xdr:cNvSpPr>
      </xdr:nvSpPr>
      <xdr:spPr bwMode="auto">
        <a:xfrm flipH="1" flipV="1">
          <a:off x="4562475" y="4095750"/>
          <a:ext cx="35242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20</xdr:row>
      <xdr:rowOff>38100</xdr:rowOff>
    </xdr:from>
    <xdr:to>
      <xdr:col>8</xdr:col>
      <xdr:colOff>257175</xdr:colOff>
      <xdr:row>20</xdr:row>
      <xdr:rowOff>104775</xdr:rowOff>
    </xdr:to>
    <xdr:sp macro="" textlink="">
      <xdr:nvSpPr>
        <xdr:cNvPr id="12" name="Line 103"/>
        <xdr:cNvSpPr>
          <a:spLocks noChangeShapeType="1"/>
        </xdr:cNvSpPr>
      </xdr:nvSpPr>
      <xdr:spPr bwMode="auto">
        <a:xfrm flipH="1" flipV="1">
          <a:off x="4610100" y="4991100"/>
          <a:ext cx="352425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57150</xdr:colOff>
      <xdr:row>63</xdr:row>
      <xdr:rowOff>161925</xdr:rowOff>
    </xdr:from>
    <xdr:to>
      <xdr:col>19</xdr:col>
      <xdr:colOff>390525</xdr:colOff>
      <xdr:row>68</xdr:row>
      <xdr:rowOff>171450</xdr:rowOff>
    </xdr:to>
    <xdr:pic>
      <xdr:nvPicPr>
        <xdr:cNvPr id="13" name="Obrázek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34" t="13333" r="14667" b="14667"/>
        <a:stretch>
          <a:fillRect/>
        </a:stretch>
      </xdr:blipFill>
      <xdr:spPr bwMode="auto">
        <a:xfrm>
          <a:off x="12563475" y="13887450"/>
          <a:ext cx="942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295275</xdr:colOff>
      <xdr:row>37</xdr:row>
      <xdr:rowOff>152400</xdr:rowOff>
    </xdr:from>
    <xdr:to>
      <xdr:col>11</xdr:col>
      <xdr:colOff>323850</xdr:colOff>
      <xdr:row>47</xdr:row>
      <xdr:rowOff>114300</xdr:rowOff>
    </xdr:to>
    <xdr:grpSp>
      <xdr:nvGrpSpPr>
        <xdr:cNvPr id="14" name="Skupina 9"/>
        <xdr:cNvGrpSpPr>
          <a:grpSpLocks/>
        </xdr:cNvGrpSpPr>
      </xdr:nvGrpSpPr>
      <xdr:grpSpPr bwMode="auto">
        <a:xfrm>
          <a:off x="6067425" y="8658225"/>
          <a:ext cx="2133600" cy="1990725"/>
          <a:chOff x="5595714" y="8462506"/>
          <a:chExt cx="2207432" cy="2483472"/>
        </a:xfrm>
      </xdr:grpSpPr>
      <xdr:pic>
        <xdr:nvPicPr>
          <xdr:cNvPr id="15" name="Obrázek 5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95714" y="8924560"/>
            <a:ext cx="2065529" cy="2021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TextovéPole 15"/>
          <xdr:cNvSpPr txBox="1"/>
        </xdr:nvSpPr>
        <xdr:spPr>
          <a:xfrm>
            <a:off x="6926086" y="8462506"/>
            <a:ext cx="877060" cy="76048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cs-CZ" sz="3200"/>
              <a:t>B</a:t>
            </a:r>
          </a:p>
        </xdr:txBody>
      </xdr:sp>
      <xdr:pic>
        <xdr:nvPicPr>
          <xdr:cNvPr id="17" name="Obrázek 8"/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3108" y="9243929"/>
            <a:ext cx="2201956" cy="1632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140921</xdr:colOff>
      <xdr:row>34</xdr:row>
      <xdr:rowOff>164307</xdr:rowOff>
    </xdr:from>
    <xdr:to>
      <xdr:col>9</xdr:col>
      <xdr:colOff>92338</xdr:colOff>
      <xdr:row>36</xdr:row>
      <xdr:rowOff>40482</xdr:rowOff>
    </xdr:to>
    <xdr:sp macro="" textlink="">
      <xdr:nvSpPr>
        <xdr:cNvPr id="18" name="TextovéPole 17"/>
        <xdr:cNvSpPr txBox="1"/>
      </xdr:nvSpPr>
      <xdr:spPr>
        <a:xfrm>
          <a:off x="4846271" y="8089107"/>
          <a:ext cx="1018217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R=</a:t>
          </a:r>
        </a:p>
      </xdr:txBody>
    </xdr:sp>
    <xdr:clientData/>
  </xdr:twoCellAnchor>
  <xdr:twoCellAnchor>
    <xdr:from>
      <xdr:col>15</xdr:col>
      <xdr:colOff>416501</xdr:colOff>
      <xdr:row>9</xdr:row>
      <xdr:rowOff>98715</xdr:rowOff>
    </xdr:from>
    <xdr:to>
      <xdr:col>16</xdr:col>
      <xdr:colOff>385452</xdr:colOff>
      <xdr:row>10</xdr:row>
      <xdr:rowOff>153268</xdr:rowOff>
    </xdr:to>
    <xdr:sp macro="" textlink="">
      <xdr:nvSpPr>
        <xdr:cNvPr id="19" name="TextovéPole 18"/>
        <xdr:cNvSpPr txBox="1"/>
      </xdr:nvSpPr>
      <xdr:spPr>
        <a:xfrm>
          <a:off x="10351076" y="2403765"/>
          <a:ext cx="1026226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D=</a:t>
          </a:r>
        </a:p>
      </xdr:txBody>
    </xdr:sp>
    <xdr:clientData/>
  </xdr:twoCellAnchor>
  <xdr:twoCellAnchor>
    <xdr:from>
      <xdr:col>15</xdr:col>
      <xdr:colOff>910716</xdr:colOff>
      <xdr:row>10</xdr:row>
      <xdr:rowOff>221455</xdr:rowOff>
    </xdr:from>
    <xdr:to>
      <xdr:col>17</xdr:col>
      <xdr:colOff>270067</xdr:colOff>
      <xdr:row>11</xdr:row>
      <xdr:rowOff>227516</xdr:rowOff>
    </xdr:to>
    <xdr:sp macro="" textlink="">
      <xdr:nvSpPr>
        <xdr:cNvPr id="20" name="TextovéPole 19"/>
        <xdr:cNvSpPr txBox="1"/>
      </xdr:nvSpPr>
      <xdr:spPr>
        <a:xfrm>
          <a:off x="10845291" y="2726530"/>
          <a:ext cx="1026226" cy="253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X=</a:t>
          </a:r>
        </a:p>
      </xdr:txBody>
    </xdr:sp>
    <xdr:clientData/>
  </xdr:twoCellAnchor>
  <xdr:twoCellAnchor>
    <xdr:from>
      <xdr:col>16</xdr:col>
      <xdr:colOff>342894</xdr:colOff>
      <xdr:row>12</xdr:row>
      <xdr:rowOff>71868</xdr:rowOff>
    </xdr:from>
    <xdr:to>
      <xdr:col>17</xdr:col>
      <xdr:colOff>758654</xdr:colOff>
      <xdr:row>13</xdr:row>
      <xdr:rowOff>125554</xdr:rowOff>
    </xdr:to>
    <xdr:sp macro="" textlink="">
      <xdr:nvSpPr>
        <xdr:cNvPr id="21" name="TextovéPole 20"/>
        <xdr:cNvSpPr txBox="1"/>
      </xdr:nvSpPr>
      <xdr:spPr>
        <a:xfrm>
          <a:off x="11334744" y="3062718"/>
          <a:ext cx="1025360" cy="253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Y=</a:t>
          </a:r>
        </a:p>
      </xdr:txBody>
    </xdr:sp>
    <xdr:clientData/>
  </xdr:twoCellAnchor>
  <xdr:twoCellAnchor editAs="oneCell">
    <xdr:from>
      <xdr:col>21</xdr:col>
      <xdr:colOff>352425</xdr:colOff>
      <xdr:row>18</xdr:row>
      <xdr:rowOff>209550</xdr:rowOff>
    </xdr:from>
    <xdr:to>
      <xdr:col>23</xdr:col>
      <xdr:colOff>361950</xdr:colOff>
      <xdr:row>36</xdr:row>
      <xdr:rowOff>104775</xdr:rowOff>
    </xdr:to>
    <xdr:pic>
      <xdr:nvPicPr>
        <xdr:cNvPr id="22" name="Picture 204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6150" y="4600575"/>
          <a:ext cx="1428750" cy="381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228600</xdr:colOff>
      <xdr:row>4</xdr:row>
      <xdr:rowOff>59871</xdr:rowOff>
    </xdr:from>
    <xdr:to>
      <xdr:col>25</xdr:col>
      <xdr:colOff>534761</xdr:colOff>
      <xdr:row>18</xdr:row>
      <xdr:rowOff>62593</xdr:rowOff>
    </xdr:to>
    <xdr:grpSp>
      <xdr:nvGrpSpPr>
        <xdr:cNvPr id="23" name="Skupina 126"/>
        <xdr:cNvGrpSpPr>
          <a:grpSpLocks/>
        </xdr:cNvGrpSpPr>
      </xdr:nvGrpSpPr>
      <xdr:grpSpPr bwMode="auto">
        <a:xfrm>
          <a:off x="13801725" y="1079046"/>
          <a:ext cx="3935186" cy="3374572"/>
          <a:chOff x="14131669" y="933450"/>
          <a:chExt cx="4174564" cy="3542606"/>
        </a:xfrm>
      </xdr:grpSpPr>
      <xdr:pic>
        <xdr:nvPicPr>
          <xdr:cNvPr id="24" name="Obrázek 127"/>
          <xdr:cNvPicPr>
            <a:picLocks noChangeAspect="1"/>
          </xdr:cNvPicPr>
        </xdr:nvPicPr>
        <xdr:blipFill>
          <a:blip xmlns:r="http://schemas.openxmlformats.org/officeDocument/2006/relationships" r:embed="rId1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31669" y="933450"/>
            <a:ext cx="4174564" cy="35426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25" name="Skupina 10"/>
          <xdr:cNvGrpSpPr>
            <a:grpSpLocks/>
          </xdr:cNvGrpSpPr>
        </xdr:nvGrpSpPr>
        <xdr:grpSpPr bwMode="auto">
          <a:xfrm>
            <a:off x="15831669" y="3660059"/>
            <a:ext cx="942423" cy="626922"/>
            <a:chOff x="15845551" y="3955265"/>
            <a:chExt cx="996948" cy="676025"/>
          </a:xfrm>
        </xdr:grpSpPr>
        <xdr:sp macro="" textlink="">
          <xdr:nvSpPr>
            <xdr:cNvPr id="26" name="Ovál 25"/>
            <xdr:cNvSpPr/>
          </xdr:nvSpPr>
          <xdr:spPr>
            <a:xfrm>
              <a:off x="15845551" y="3955265"/>
              <a:ext cx="691676" cy="676025"/>
            </a:xfrm>
            <a:prstGeom prst="ellipse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  <xdr:sp macro="" textlink="">
          <xdr:nvSpPr>
            <xdr:cNvPr id="27" name="TextovéPole 26"/>
            <xdr:cNvSpPr txBox="1"/>
          </xdr:nvSpPr>
          <xdr:spPr>
            <a:xfrm>
              <a:off x="16547868" y="4073301"/>
              <a:ext cx="294631" cy="2980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cs-CZ" sz="1100" b="1"/>
                <a:t>B</a:t>
              </a:r>
            </a:p>
          </xdr:txBody>
        </xdr:sp>
      </xdr:grpSp>
    </xdr:grpSp>
    <xdr:clientData/>
  </xdr:twoCellAnchor>
  <xdr:twoCellAnchor>
    <xdr:from>
      <xdr:col>1</xdr:col>
      <xdr:colOff>342900</xdr:colOff>
      <xdr:row>34</xdr:row>
      <xdr:rowOff>161925</xdr:rowOff>
    </xdr:from>
    <xdr:to>
      <xdr:col>2</xdr:col>
      <xdr:colOff>751517</xdr:colOff>
      <xdr:row>36</xdr:row>
      <xdr:rowOff>38100</xdr:rowOff>
    </xdr:to>
    <xdr:sp macro="" textlink="">
      <xdr:nvSpPr>
        <xdr:cNvPr id="28" name="TextovéPole 27"/>
        <xdr:cNvSpPr txBox="1"/>
      </xdr:nvSpPr>
      <xdr:spPr>
        <a:xfrm>
          <a:off x="523875" y="8086725"/>
          <a:ext cx="1018217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L=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19050</xdr:rowOff>
    </xdr:from>
    <xdr:to>
      <xdr:col>8</xdr:col>
      <xdr:colOff>257175</xdr:colOff>
      <xdr:row>28</xdr:row>
      <xdr:rowOff>19050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90550"/>
          <a:ext cx="45148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123825</xdr:rowOff>
    </xdr:from>
    <xdr:to>
      <xdr:col>6</xdr:col>
      <xdr:colOff>47625</xdr:colOff>
      <xdr:row>37</xdr:row>
      <xdr:rowOff>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483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357188</xdr:colOff>
      <xdr:row>3</xdr:row>
      <xdr:rowOff>128589</xdr:rowOff>
    </xdr:from>
    <xdr:to>
      <xdr:col>1</xdr:col>
      <xdr:colOff>61913</xdr:colOff>
      <xdr:row>9</xdr:row>
      <xdr:rowOff>33339</xdr:rowOff>
    </xdr:to>
    <xdr:sp macro="" textlink="">
      <xdr:nvSpPr>
        <xdr:cNvPr id="4" name="TextovéPole 3"/>
        <xdr:cNvSpPr txBox="1"/>
      </xdr:nvSpPr>
      <xdr:spPr>
        <a:xfrm rot="16200000">
          <a:off x="-9524" y="1066801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A=</a:t>
          </a:r>
        </a:p>
      </xdr:txBody>
    </xdr:sp>
    <xdr:clientData/>
  </xdr:twoCellAnchor>
  <xdr:twoCellAnchor>
    <xdr:from>
      <xdr:col>4</xdr:col>
      <xdr:colOff>428626</xdr:colOff>
      <xdr:row>26</xdr:row>
      <xdr:rowOff>57150</xdr:rowOff>
    </xdr:from>
    <xdr:to>
      <xdr:col>6</xdr:col>
      <xdr:colOff>257176</xdr:colOff>
      <xdr:row>27</xdr:row>
      <xdr:rowOff>180975</xdr:rowOff>
    </xdr:to>
    <xdr:sp macro="" textlink="">
      <xdr:nvSpPr>
        <xdr:cNvPr id="5" name="TextovéPole 4"/>
        <xdr:cNvSpPr txBox="1"/>
      </xdr:nvSpPr>
      <xdr:spPr>
        <a:xfrm>
          <a:off x="2867026" y="5010150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19050</xdr:rowOff>
    </xdr:from>
    <xdr:to>
      <xdr:col>8</xdr:col>
      <xdr:colOff>247650</xdr:colOff>
      <xdr:row>30</xdr:row>
      <xdr:rowOff>152400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90550"/>
          <a:ext cx="5038725" cy="527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209551</xdr:colOff>
      <xdr:row>28</xdr:row>
      <xdr:rowOff>161925</xdr:rowOff>
    </xdr:from>
    <xdr:to>
      <xdr:col>5</xdr:col>
      <xdr:colOff>38101</xdr:colOff>
      <xdr:row>30</xdr:row>
      <xdr:rowOff>95250</xdr:rowOff>
    </xdr:to>
    <xdr:sp macro="" textlink="">
      <xdr:nvSpPr>
        <xdr:cNvPr id="4" name="TextovéPole 3"/>
        <xdr:cNvSpPr txBox="1"/>
      </xdr:nvSpPr>
      <xdr:spPr>
        <a:xfrm>
          <a:off x="2038351" y="5495925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twoCellAnchor>
  <xdr:twoCellAnchor>
    <xdr:from>
      <xdr:col>8</xdr:col>
      <xdr:colOff>176213</xdr:colOff>
      <xdr:row>3</xdr:row>
      <xdr:rowOff>128589</xdr:rowOff>
    </xdr:from>
    <xdr:to>
      <xdr:col>8</xdr:col>
      <xdr:colOff>490538</xdr:colOff>
      <xdr:row>9</xdr:row>
      <xdr:rowOff>33339</xdr:rowOff>
    </xdr:to>
    <xdr:sp macro="" textlink="">
      <xdr:nvSpPr>
        <xdr:cNvPr id="5" name="TextovéPole 4"/>
        <xdr:cNvSpPr txBox="1"/>
      </xdr:nvSpPr>
      <xdr:spPr>
        <a:xfrm rot="16200000">
          <a:off x="4686301" y="1066801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A=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CF127"/>
  <sheetViews>
    <sheetView showGridLines="0" tabSelected="1" zoomScale="70" zoomScaleNormal="70" zoomScaleSheetLayoutView="40" workbookViewId="0">
      <selection activeCell="K3" sqref="K3"/>
    </sheetView>
  </sheetViews>
  <sheetFormatPr defaultRowHeight="15" x14ac:dyDescent="0.25"/>
  <cols>
    <col min="1" max="1" width="2.7109375" customWidth="1"/>
    <col min="3" max="3" width="15" customWidth="1"/>
    <col min="4" max="4" width="7.140625" customWidth="1"/>
    <col min="9" max="9" width="16" customWidth="1"/>
    <col min="10" max="10" width="20.140625" customWidth="1"/>
    <col min="11" max="11" width="11.42578125" bestFit="1" customWidth="1"/>
    <col min="13" max="13" width="3.42578125" customWidth="1"/>
    <col min="16" max="16" width="15.85546875" customWidth="1"/>
    <col min="18" max="18" width="13.5703125" bestFit="1" customWidth="1"/>
    <col min="20" max="20" width="6.85546875" customWidth="1"/>
    <col min="21" max="21" width="14.85546875" customWidth="1"/>
    <col min="23" max="23" width="12.140625" customWidth="1"/>
    <col min="26" max="26" width="11.85546875" bestFit="1" customWidth="1"/>
    <col min="27" max="27" width="11.7109375" customWidth="1"/>
    <col min="29" max="29" width="2.140625" customWidth="1"/>
    <col min="30" max="31" width="9.140625" hidden="1" customWidth="1"/>
    <col min="32" max="32" width="8.42578125" hidden="1" customWidth="1"/>
    <col min="33" max="33" width="15.5703125" hidden="1" customWidth="1"/>
    <col min="34" max="34" width="95.42578125" hidden="1" customWidth="1"/>
    <col min="35" max="35" width="91.85546875" hidden="1" customWidth="1"/>
    <col min="36" max="36" width="81.42578125" hidden="1" customWidth="1"/>
    <col min="37" max="37" width="76.5703125" hidden="1" customWidth="1"/>
    <col min="38" max="38" width="49.7109375" hidden="1" customWidth="1"/>
    <col min="39" max="39" width="59" hidden="1" customWidth="1"/>
    <col min="40" max="52" width="9.140625" hidden="1" customWidth="1"/>
    <col min="53" max="78" width="9.140625" customWidth="1"/>
  </cols>
  <sheetData>
    <row r="1" spans="1:42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AB1" s="1"/>
      <c r="AD1" s="2" t="s">
        <v>0</v>
      </c>
      <c r="AE1" s="3">
        <f>VLOOKUP(E5,AD3:AE11,2,FALSE)</f>
        <v>1</v>
      </c>
      <c r="AF1" s="4"/>
      <c r="AG1" t="s">
        <v>1</v>
      </c>
      <c r="AH1" s="5" t="s">
        <v>2</v>
      </c>
      <c r="AI1" s="5" t="s">
        <v>3</v>
      </c>
      <c r="AJ1" s="5" t="s">
        <v>4</v>
      </c>
      <c r="AK1" s="5" t="s">
        <v>5</v>
      </c>
      <c r="AL1" s="5" t="s">
        <v>6</v>
      </c>
      <c r="AM1" s="5" t="s">
        <v>7</v>
      </c>
      <c r="AN1" s="6" t="s">
        <v>8</v>
      </c>
      <c r="AO1" s="6" t="s">
        <v>9</v>
      </c>
      <c r="AP1" s="6" t="s">
        <v>10</v>
      </c>
    </row>
    <row r="2" spans="1:42" ht="24" customHeight="1" thickBot="1" x14ac:dyDescent="0.3">
      <c r="A2" s="7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 t="str">
        <f>AG12</f>
        <v>STANDARDNÍ VEDENÍ (SL) 350</v>
      </c>
      <c r="Y2" s="10"/>
      <c r="Z2" s="10"/>
      <c r="AA2" s="10"/>
      <c r="AB2" s="11"/>
      <c r="AD2" s="12" t="s">
        <v>11</v>
      </c>
      <c r="AE2" s="13" t="s">
        <v>12</v>
      </c>
      <c r="AF2" s="14"/>
      <c r="AG2" t="str">
        <f t="shared" ref="AG2:AG8" si="0">VLOOKUP(AH2,AH2:AR96,$AE$1,FALSE)</f>
        <v xml:space="preserve">Zvolit jazyk: </v>
      </c>
      <c r="AH2" t="s">
        <v>13</v>
      </c>
      <c r="AI2" t="s">
        <v>14</v>
      </c>
      <c r="AJ2" t="s">
        <v>15</v>
      </c>
      <c r="AK2" t="s">
        <v>16</v>
      </c>
      <c r="AL2" t="s">
        <v>17</v>
      </c>
      <c r="AM2" t="s">
        <v>18</v>
      </c>
      <c r="AN2" t="s">
        <v>19</v>
      </c>
      <c r="AO2" t="s">
        <v>20</v>
      </c>
      <c r="AP2" t="s">
        <v>21</v>
      </c>
    </row>
    <row r="3" spans="1:42" ht="24" customHeight="1" thickBot="1" x14ac:dyDescent="0.35">
      <c r="A3" s="7"/>
      <c r="B3" s="15" t="s">
        <v>22</v>
      </c>
      <c r="C3" s="16"/>
      <c r="D3" s="17"/>
      <c r="E3" s="8"/>
      <c r="F3" s="8"/>
      <c r="G3" s="8"/>
      <c r="H3" s="18" t="str">
        <f>VLOOKUP(AG3,AG2:AR96,$AE$1+1,FALSE)</f>
        <v>Šířka otvoru</v>
      </c>
      <c r="I3" s="18"/>
      <c r="K3" s="19"/>
      <c r="L3" s="8" t="s">
        <v>23</v>
      </c>
      <c r="M3" s="20" t="str">
        <f>IF(K3/1000*K5/1000&gt;40,"WxH max. 40m2!!!","")</f>
        <v/>
      </c>
      <c r="U3" s="8"/>
      <c r="V3" s="21"/>
      <c r="W3" s="21"/>
      <c r="X3" s="22" t="s">
        <v>24</v>
      </c>
      <c r="Y3" s="22"/>
      <c r="Z3" s="22"/>
      <c r="AA3" s="22"/>
      <c r="AB3" s="23"/>
      <c r="AD3" s="24" t="s">
        <v>2</v>
      </c>
      <c r="AE3" s="25">
        <v>1</v>
      </c>
      <c r="AF3" s="4"/>
      <c r="AG3" t="str">
        <f t="shared" si="0"/>
        <v>Šířka otvoru</v>
      </c>
      <c r="AH3" t="s">
        <v>25</v>
      </c>
      <c r="AI3" t="s">
        <v>26</v>
      </c>
      <c r="AJ3" t="s">
        <v>27</v>
      </c>
      <c r="AK3" t="s">
        <v>28</v>
      </c>
      <c r="AL3" t="s">
        <v>29</v>
      </c>
      <c r="AM3" t="s">
        <v>30</v>
      </c>
      <c r="AN3" t="s">
        <v>31</v>
      </c>
      <c r="AO3" t="s">
        <v>32</v>
      </c>
      <c r="AP3" t="s">
        <v>33</v>
      </c>
    </row>
    <row r="4" spans="1:42" ht="16.5" thickBot="1" x14ac:dyDescent="0.3">
      <c r="A4" s="7"/>
      <c r="B4" s="16" t="s">
        <v>14</v>
      </c>
      <c r="C4" s="16"/>
      <c r="D4" s="17"/>
      <c r="F4" s="8"/>
      <c r="G4" s="8"/>
      <c r="M4" s="8"/>
      <c r="X4" s="26"/>
      <c r="Y4" s="26"/>
      <c r="Z4" s="26"/>
      <c r="AA4" s="8"/>
      <c r="AB4" s="7"/>
      <c r="AD4" s="24" t="s">
        <v>3</v>
      </c>
      <c r="AE4" s="25">
        <v>2</v>
      </c>
      <c r="AF4" s="4"/>
      <c r="AG4" t="str">
        <f t="shared" si="0"/>
        <v>Výška otvoru</v>
      </c>
      <c r="AH4" t="s">
        <v>34</v>
      </c>
      <c r="AI4" t="s">
        <v>35</v>
      </c>
      <c r="AJ4" t="s">
        <v>36</v>
      </c>
      <c r="AK4" t="s">
        <v>37</v>
      </c>
      <c r="AL4" t="s">
        <v>38</v>
      </c>
      <c r="AM4" t="s">
        <v>39</v>
      </c>
      <c r="AN4" t="s">
        <v>40</v>
      </c>
      <c r="AO4" t="s">
        <v>41</v>
      </c>
      <c r="AP4" t="s">
        <v>42</v>
      </c>
    </row>
    <row r="5" spans="1:42" ht="19.5" customHeight="1" thickBot="1" x14ac:dyDescent="0.35">
      <c r="A5" s="7"/>
      <c r="B5" s="27" t="s">
        <v>43</v>
      </c>
      <c r="C5" s="16"/>
      <c r="D5" s="28"/>
      <c r="E5" s="19" t="s">
        <v>2</v>
      </c>
      <c r="F5" s="8"/>
      <c r="G5" s="8"/>
      <c r="H5" s="18" t="str">
        <f>VLOOKUP(AG4,AG2:AR96,$AE$1+1,FALSE)</f>
        <v>Výška otvoru</v>
      </c>
      <c r="I5" s="18"/>
      <c r="K5" s="19"/>
      <c r="L5" t="s">
        <v>23</v>
      </c>
      <c r="O5" s="29" t="str">
        <f>VLOOKUP(AH99,AH99:AR175,$AE$1,FALSE)</f>
        <v>Prosím, vyplňte pole, která jsou označena barevně!</v>
      </c>
      <c r="T5" s="8"/>
      <c r="X5" s="26"/>
      <c r="Y5" s="26"/>
      <c r="Z5" s="26"/>
      <c r="AA5" s="8"/>
      <c r="AB5" s="7"/>
      <c r="AD5" s="24" t="s">
        <v>4</v>
      </c>
      <c r="AE5" s="25">
        <v>3</v>
      </c>
      <c r="AF5" s="4"/>
      <c r="AG5" t="str">
        <f t="shared" si="0"/>
        <v>POHLED ZEVNITŘ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</row>
    <row r="6" spans="1:42" ht="23.25" customHeight="1" thickBot="1" x14ac:dyDescent="0.3">
      <c r="A6" s="7"/>
      <c r="B6" s="27" t="s">
        <v>53</v>
      </c>
      <c r="C6" s="16"/>
      <c r="D6" s="28"/>
      <c r="E6" s="8"/>
      <c r="F6" s="8"/>
      <c r="P6" s="8"/>
      <c r="Q6" s="8"/>
      <c r="R6" s="8"/>
      <c r="S6" s="8"/>
      <c r="T6" s="8"/>
      <c r="X6" s="26"/>
      <c r="Y6" s="26"/>
      <c r="Z6" s="26"/>
      <c r="AA6" s="8"/>
      <c r="AB6" s="7"/>
      <c r="AD6" s="24" t="s">
        <v>5</v>
      </c>
      <c r="AE6" s="25">
        <v>4</v>
      </c>
      <c r="AF6" s="4"/>
      <c r="AG6" t="str">
        <f t="shared" si="0"/>
        <v>ŘEZ A-A</v>
      </c>
      <c r="AH6" t="s">
        <v>54</v>
      </c>
      <c r="AI6" t="s">
        <v>55</v>
      </c>
      <c r="AJ6" t="s">
        <v>56</v>
      </c>
      <c r="AK6" t="s">
        <v>57</v>
      </c>
      <c r="AL6" t="s">
        <v>58</v>
      </c>
      <c r="AM6" t="s">
        <v>59</v>
      </c>
      <c r="AN6" t="s">
        <v>60</v>
      </c>
      <c r="AO6" t="s">
        <v>61</v>
      </c>
      <c r="AP6" t="s">
        <v>62</v>
      </c>
    </row>
    <row r="7" spans="1:42" ht="19.5" thickBot="1" x14ac:dyDescent="0.35">
      <c r="A7" s="7"/>
      <c r="B7" s="27" t="s">
        <v>63</v>
      </c>
      <c r="C7" s="27"/>
      <c r="D7" s="8"/>
      <c r="E7" s="8"/>
      <c r="H7" s="30" t="str">
        <f>VLOOKUP(AG101,AG8:AR101,$AE$1+1,FALSE)</f>
        <v>Ovládání</v>
      </c>
      <c r="I7" s="28"/>
      <c r="J7" s="31"/>
      <c r="K7" s="32"/>
      <c r="L7" s="32"/>
      <c r="M7" s="32"/>
      <c r="O7" s="33" t="str">
        <f>IF(OR(K7=AG102,K7=""),"",VLOOKUP(AG106,AG106:AR106,$AE$1+1,FALSE))</f>
        <v/>
      </c>
      <c r="P7" s="34"/>
      <c r="Q7" s="34"/>
      <c r="R7" s="32"/>
      <c r="S7" s="32"/>
      <c r="T7" s="8"/>
      <c r="X7" s="26"/>
      <c r="Y7" s="26"/>
      <c r="Z7" s="26"/>
      <c r="AA7" s="8"/>
      <c r="AB7" s="7"/>
      <c r="AD7" s="35" t="s">
        <v>6</v>
      </c>
      <c r="AE7" s="36">
        <v>5</v>
      </c>
      <c r="AF7" s="37"/>
      <c r="AG7" t="str">
        <f t="shared" si="0"/>
        <v>ŘEZ B-B</v>
      </c>
      <c r="AH7" t="s">
        <v>64</v>
      </c>
      <c r="AI7" t="s">
        <v>65</v>
      </c>
      <c r="AJ7" t="s">
        <v>66</v>
      </c>
      <c r="AK7" t="s">
        <v>67</v>
      </c>
      <c r="AL7" t="s">
        <v>68</v>
      </c>
      <c r="AM7" t="s">
        <v>69</v>
      </c>
      <c r="AN7" t="s">
        <v>70</v>
      </c>
      <c r="AO7" t="s">
        <v>71</v>
      </c>
      <c r="AP7" t="s">
        <v>72</v>
      </c>
    </row>
    <row r="8" spans="1:42" ht="19.5" thickBot="1" x14ac:dyDescent="0.35">
      <c r="A8" s="7"/>
      <c r="B8" s="27" t="s">
        <v>19</v>
      </c>
      <c r="C8" s="27"/>
      <c r="D8" s="29"/>
      <c r="E8" s="29"/>
      <c r="F8" s="29"/>
      <c r="G8" s="38"/>
      <c r="T8" s="8"/>
      <c r="X8" s="26"/>
      <c r="Y8" s="26"/>
      <c r="Z8" s="26"/>
      <c r="AA8" s="8"/>
      <c r="AB8" s="7"/>
      <c r="AD8" s="35" t="s">
        <v>7</v>
      </c>
      <c r="AE8" s="39">
        <v>6</v>
      </c>
      <c r="AG8" t="str">
        <f t="shared" si="0"/>
        <v>POZNÁMKA:</v>
      </c>
      <c r="AH8" t="s">
        <v>73</v>
      </c>
      <c r="AI8" t="s">
        <v>74</v>
      </c>
      <c r="AJ8" t="s">
        <v>75</v>
      </c>
      <c r="AK8" t="s">
        <v>76</v>
      </c>
      <c r="AL8" t="s">
        <v>77</v>
      </c>
      <c r="AM8" t="s">
        <v>78</v>
      </c>
      <c r="AN8" t="s">
        <v>79</v>
      </c>
      <c r="AO8" t="s">
        <v>80</v>
      </c>
      <c r="AP8" t="s">
        <v>81</v>
      </c>
    </row>
    <row r="9" spans="1:42" ht="19.5" thickBot="1" x14ac:dyDescent="0.35">
      <c r="A9" s="7"/>
      <c r="B9" s="27" t="s">
        <v>20</v>
      </c>
      <c r="C9" s="27"/>
      <c r="D9" s="8"/>
      <c r="E9" s="8"/>
      <c r="F9" s="8"/>
      <c r="G9" s="8"/>
      <c r="H9" s="40" t="str">
        <f>AG115</f>
        <v>Typ panelu</v>
      </c>
      <c r="K9" s="41"/>
      <c r="L9" s="41"/>
      <c r="M9" s="41"/>
      <c r="Q9" s="18" t="str">
        <f>VLOOKUP($AG$6,$AG$2:$AR$96,$AE$1+1,FALSE)</f>
        <v>ŘEZ A-A</v>
      </c>
      <c r="S9" s="31"/>
      <c r="T9" s="42"/>
      <c r="U9" s="8"/>
      <c r="V9" s="8"/>
      <c r="W9" s="8"/>
      <c r="X9" s="8"/>
      <c r="Y9" s="8"/>
      <c r="Z9" s="8"/>
      <c r="AA9" s="8"/>
      <c r="AB9" s="7"/>
      <c r="AD9" s="35" t="s">
        <v>8</v>
      </c>
      <c r="AE9" s="39">
        <v>7</v>
      </c>
    </row>
    <row r="10" spans="1:42" ht="15.75" thickBot="1" x14ac:dyDescent="0.3">
      <c r="A10" s="7"/>
      <c r="B10" s="27" t="s">
        <v>21</v>
      </c>
      <c r="C10" s="27"/>
      <c r="D10" s="8"/>
      <c r="E10" s="8"/>
      <c r="F10" s="8"/>
      <c r="G10" s="8"/>
      <c r="P10" s="43">
        <f>IF(OR($K$3=0,$K$5=0),0,$P$62)</f>
        <v>0</v>
      </c>
      <c r="R10" s="8"/>
      <c r="S10" s="31"/>
      <c r="T10" s="42"/>
      <c r="U10" s="8"/>
      <c r="V10" s="8"/>
      <c r="W10" s="8"/>
      <c r="X10" s="8"/>
      <c r="Y10" s="8"/>
      <c r="Z10" s="8"/>
      <c r="AA10" s="8"/>
      <c r="AB10" s="7"/>
      <c r="AD10" s="35" t="s">
        <v>9</v>
      </c>
      <c r="AE10" s="39">
        <v>8</v>
      </c>
    </row>
    <row r="11" spans="1:42" ht="19.5" thickBot="1" x14ac:dyDescent="0.35">
      <c r="B11" s="44"/>
      <c r="C11" s="8"/>
      <c r="D11" s="8"/>
      <c r="E11" s="8"/>
      <c r="F11" s="8"/>
      <c r="G11" s="8"/>
      <c r="H11" s="40" t="str">
        <f>AG125</f>
        <v>Typ vedení</v>
      </c>
      <c r="K11" s="45"/>
      <c r="L11" s="45"/>
      <c r="M11" s="45"/>
      <c r="N11" s="8"/>
      <c r="P11" s="43"/>
      <c r="T11" s="42"/>
      <c r="U11" s="8"/>
      <c r="V11" s="8"/>
      <c r="W11" s="8"/>
      <c r="X11" s="8"/>
      <c r="Y11" s="8"/>
      <c r="Z11" s="8"/>
      <c r="AA11" s="8"/>
      <c r="AB11" s="7"/>
      <c r="AD11" s="35" t="s">
        <v>10</v>
      </c>
      <c r="AE11" s="39">
        <v>9</v>
      </c>
    </row>
    <row r="12" spans="1:42" ht="18.75" x14ac:dyDescent="0.3">
      <c r="B12" s="46"/>
      <c r="C12" s="47"/>
      <c r="D12" s="48" t="str">
        <f>VLOOKUP(AG5,AG2:AR96,$AE$1+1,FALSE)</f>
        <v>POHLED ZEVNITŘ</v>
      </c>
      <c r="E12" s="48"/>
      <c r="F12" s="48"/>
      <c r="G12" s="8"/>
      <c r="H12" s="49"/>
      <c r="I12" s="8"/>
      <c r="J12" s="8"/>
      <c r="K12" s="8"/>
      <c r="L12" s="8"/>
      <c r="M12" s="8"/>
      <c r="N12" s="8"/>
      <c r="O12" s="8"/>
      <c r="P12" s="8"/>
      <c r="Q12" s="50">
        <f>IF($K$5=0,0,$K$5)</f>
        <v>0</v>
      </c>
      <c r="S12" s="8"/>
      <c r="T12" s="8"/>
      <c r="U12" s="8"/>
      <c r="V12" s="8"/>
      <c r="W12" s="8"/>
      <c r="X12" s="8"/>
      <c r="Y12" s="8"/>
      <c r="Z12" s="8"/>
      <c r="AA12" s="8"/>
      <c r="AB12" s="7"/>
      <c r="AG12" t="str">
        <f>VLOOKUP(AH12,AH12:AR106,$AE$1,FALSE)</f>
        <v>STANDARDNÍ VEDENÍ (SL) 350</v>
      </c>
      <c r="AH12" t="s">
        <v>82</v>
      </c>
      <c r="AI12" t="s">
        <v>83</v>
      </c>
      <c r="AJ12" t="s">
        <v>84</v>
      </c>
      <c r="AK12" t="s">
        <v>85</v>
      </c>
      <c r="AL12" t="s">
        <v>86</v>
      </c>
      <c r="AM12" t="s">
        <v>87</v>
      </c>
      <c r="AN12" t="s">
        <v>88</v>
      </c>
      <c r="AO12" t="s">
        <v>89</v>
      </c>
      <c r="AP12" t="s">
        <v>90</v>
      </c>
    </row>
    <row r="13" spans="1:42" ht="15.75" x14ac:dyDescent="0.25">
      <c r="B13" s="46"/>
      <c r="C13" s="49"/>
      <c r="D13" s="8"/>
      <c r="E13" s="8"/>
      <c r="F13" s="8"/>
      <c r="G13" s="51"/>
      <c r="H13" s="8"/>
      <c r="I13" s="8"/>
      <c r="J13" s="52" t="str">
        <f>IF(OR($K$11=$AG$126,$K$11=$AG$127),"W&gt;7500 mm =&gt; 3'","")</f>
        <v/>
      </c>
      <c r="K13" s="52"/>
      <c r="L13" s="52"/>
      <c r="M13" s="8"/>
      <c r="N13" s="8"/>
      <c r="O13" s="8"/>
      <c r="P13" s="53"/>
      <c r="Q13" s="49"/>
      <c r="R13" s="54" t="str">
        <f>IF(AND(P62&gt;=3000,P62&lt;4500),IF(OR(K3="",K5="",P56=""),"",L64/2),"0")</f>
        <v>0</v>
      </c>
      <c r="S13" s="8"/>
      <c r="T13" s="8"/>
      <c r="U13" s="8"/>
      <c r="V13" s="8"/>
      <c r="W13" s="8"/>
      <c r="X13" s="8"/>
      <c r="Y13" s="8"/>
      <c r="Z13" s="8"/>
      <c r="AA13" s="8"/>
      <c r="AB13" s="7"/>
      <c r="AG13" t="str">
        <f>VLOOKUP(AH13,AH13:AR107,$AE$1,FALSE)</f>
        <v>PRUŽINY NAD PŘEKLADEM</v>
      </c>
      <c r="AH13" t="s">
        <v>91</v>
      </c>
      <c r="AI13" t="s">
        <v>92</v>
      </c>
      <c r="AJ13" t="s">
        <v>93</v>
      </c>
      <c r="AK13" t="s">
        <v>94</v>
      </c>
      <c r="AL13" t="s">
        <v>95</v>
      </c>
      <c r="AM13" t="s">
        <v>96</v>
      </c>
      <c r="AN13" t="s">
        <v>97</v>
      </c>
      <c r="AO13" t="s">
        <v>98</v>
      </c>
      <c r="AP13" t="s">
        <v>99</v>
      </c>
    </row>
    <row r="14" spans="1:42" ht="15.75" x14ac:dyDescent="0.25">
      <c r="B14" s="46"/>
      <c r="C14" s="47"/>
      <c r="D14" s="8"/>
      <c r="E14" s="8"/>
      <c r="F14" s="8"/>
      <c r="G14" s="8"/>
      <c r="H14" s="8"/>
      <c r="I14" s="8"/>
      <c r="J14" s="52" t="str">
        <f>IF(OR($K$11=$AG$126,$K$11=$AG$127),"H&gt; 4500 mm &amp;W&gt;6500 mm =&gt; 3'","")</f>
        <v/>
      </c>
      <c r="K14" s="52"/>
      <c r="L14" s="52"/>
      <c r="M14" s="52"/>
      <c r="N14" s="8"/>
      <c r="O14" s="8"/>
      <c r="P14" s="53"/>
      <c r="R14" s="54"/>
      <c r="S14" s="8"/>
      <c r="T14" s="8"/>
      <c r="U14" s="8"/>
      <c r="V14" s="8"/>
      <c r="W14" s="8"/>
      <c r="X14" s="8"/>
      <c r="Y14" s="8"/>
      <c r="Z14" s="8"/>
      <c r="AA14" s="8"/>
      <c r="AB14" s="7"/>
      <c r="AG14" t="str">
        <f>VLOOKUP(AH14,AH14:AR108,$AE$1,FALSE)</f>
        <v>pro HL&gt;600 a HL&lt;=1200</v>
      </c>
      <c r="AH14" t="s">
        <v>100</v>
      </c>
      <c r="AI14" t="s">
        <v>101</v>
      </c>
      <c r="AJ14" t="s">
        <v>102</v>
      </c>
      <c r="AK14" t="s">
        <v>103</v>
      </c>
      <c r="AL14" t="s">
        <v>104</v>
      </c>
      <c r="AM14" t="s">
        <v>105</v>
      </c>
      <c r="AN14" t="s">
        <v>106</v>
      </c>
      <c r="AO14" t="s">
        <v>107</v>
      </c>
      <c r="AP14" t="s">
        <v>108</v>
      </c>
    </row>
    <row r="15" spans="1:42" ht="15" customHeight="1" x14ac:dyDescent="0.25">
      <c r="B15" s="46"/>
      <c r="C15" s="47"/>
      <c r="D15" s="8"/>
      <c r="E15" s="8"/>
      <c r="F15" s="8"/>
      <c r="G15" s="8"/>
      <c r="I15" s="55"/>
      <c r="J15" s="8"/>
      <c r="K15" s="8"/>
      <c r="L15" s="8"/>
      <c r="M15" s="8"/>
      <c r="N15" s="8"/>
      <c r="O15" s="8"/>
      <c r="P15" s="8"/>
      <c r="Q15" s="53"/>
      <c r="R15" s="56"/>
      <c r="S15" s="8"/>
      <c r="T15" s="8"/>
      <c r="U15" s="8"/>
      <c r="V15" s="8"/>
      <c r="W15" s="8"/>
      <c r="X15" s="8"/>
      <c r="Y15" s="8"/>
      <c r="Z15" s="8"/>
      <c r="AA15" s="8"/>
      <c r="AB15" s="7"/>
      <c r="AG15" t="str">
        <f>VLOOKUP(AH15,AH15:AR109,$AE$1,FALSE)</f>
        <v>PANEL 40mm</v>
      </c>
      <c r="AH15" t="s">
        <v>109</v>
      </c>
      <c r="AI15" t="s">
        <v>110</v>
      </c>
      <c r="AJ15" t="s">
        <v>111</v>
      </c>
      <c r="AK15" t="s">
        <v>112</v>
      </c>
      <c r="AL15" t="s">
        <v>113</v>
      </c>
      <c r="AM15" t="s">
        <v>114</v>
      </c>
      <c r="AN15" t="s">
        <v>111</v>
      </c>
      <c r="AO15" t="s">
        <v>115</v>
      </c>
      <c r="AP15" t="s">
        <v>116</v>
      </c>
    </row>
    <row r="16" spans="1:42" ht="15" customHeight="1" x14ac:dyDescent="0.25">
      <c r="B16" s="46"/>
      <c r="C16" s="57"/>
      <c r="D16" s="58">
        <f>IF($K$11="2""",100,120)</f>
        <v>120</v>
      </c>
      <c r="E16" s="8"/>
      <c r="F16" s="8"/>
      <c r="G16" s="8"/>
      <c r="H16" s="55"/>
      <c r="I16" s="55"/>
      <c r="J16" s="8"/>
      <c r="K16" s="8"/>
      <c r="L16" s="8"/>
      <c r="M16" s="8"/>
      <c r="N16" s="8"/>
      <c r="O16" s="8"/>
      <c r="P16" s="8"/>
      <c r="Q16" s="59"/>
      <c r="R16" s="60"/>
      <c r="S16" s="60"/>
      <c r="T16" s="8"/>
      <c r="U16" s="8"/>
      <c r="V16" s="8"/>
      <c r="W16" s="8"/>
      <c r="X16" s="8"/>
      <c r="Y16" s="8"/>
      <c r="Z16" s="8"/>
      <c r="AA16" s="8"/>
      <c r="AB16" s="7"/>
      <c r="AG16" t="str">
        <f>VLOOKUP(AH16,AH16:AR110,$AE$1,FALSE)</f>
        <v>Max. W x H 4000x4000</v>
      </c>
      <c r="AH16" t="s">
        <v>117</v>
      </c>
      <c r="AI16" t="s">
        <v>117</v>
      </c>
      <c r="AJ16" t="s">
        <v>117</v>
      </c>
      <c r="AK16" t="s">
        <v>117</v>
      </c>
      <c r="AL16" t="s">
        <v>117</v>
      </c>
      <c r="AM16" t="s">
        <v>118</v>
      </c>
      <c r="AN16" t="s">
        <v>117</v>
      </c>
      <c r="AO16" t="s">
        <v>117</v>
      </c>
      <c r="AP16" t="s">
        <v>119</v>
      </c>
    </row>
    <row r="17" spans="2:42" ht="15" customHeight="1" x14ac:dyDescent="0.25">
      <c r="B17" s="46"/>
      <c r="C17" s="57"/>
      <c r="D17" s="8"/>
      <c r="E17" s="8"/>
      <c r="F17" s="8"/>
      <c r="G17" s="8"/>
      <c r="H17" s="61"/>
      <c r="J17" s="8"/>
      <c r="K17" s="8"/>
      <c r="L17" s="8"/>
      <c r="M17" s="8"/>
      <c r="N17" s="8"/>
      <c r="O17" s="8"/>
      <c r="P17" s="8"/>
      <c r="Q17" s="8"/>
      <c r="R17" s="60"/>
      <c r="S17" s="60"/>
      <c r="T17" s="8"/>
      <c r="U17" s="8"/>
      <c r="V17" s="8"/>
      <c r="W17" s="8"/>
      <c r="X17" s="8"/>
      <c r="Y17" s="8"/>
      <c r="Z17" s="8"/>
      <c r="AA17" s="8"/>
      <c r="AB17" s="7"/>
    </row>
    <row r="18" spans="2:42" ht="33.75" customHeight="1" x14ac:dyDescent="0.25">
      <c r="B18" s="62" t="str">
        <f>"F= "&amp;P56</f>
        <v>F= 390</v>
      </c>
      <c r="C18" s="63">
        <f>P59</f>
        <v>255</v>
      </c>
      <c r="D18" s="8"/>
      <c r="E18" s="8"/>
      <c r="F18" s="8"/>
      <c r="G18" s="8"/>
      <c r="H18" s="61"/>
      <c r="J18" s="8"/>
      <c r="K18" s="8"/>
      <c r="L18" s="8"/>
      <c r="N18" s="64"/>
      <c r="O18" s="65"/>
      <c r="P18" s="8"/>
      <c r="Q18" s="8"/>
      <c r="R18" s="8"/>
      <c r="S18" s="66"/>
      <c r="T18" s="67" t="str">
        <f>"A= "&amp;P59</f>
        <v>A= 255</v>
      </c>
      <c r="U18" s="68" t="str">
        <f>"F= "&amp;P56</f>
        <v>F= 390</v>
      </c>
      <c r="V18" s="8"/>
      <c r="W18" s="8"/>
      <c r="X18" s="8"/>
      <c r="Y18" s="8"/>
      <c r="Z18" s="8"/>
      <c r="AA18" s="8"/>
      <c r="AB18" s="7"/>
    </row>
    <row r="19" spans="2:42" ht="29.25" customHeight="1" x14ac:dyDescent="0.25">
      <c r="B19" s="62"/>
      <c r="C19" s="69" t="s">
        <v>120</v>
      </c>
      <c r="D19" s="8"/>
      <c r="E19" s="8"/>
      <c r="F19" s="8"/>
      <c r="G19" s="8"/>
      <c r="H19" s="8"/>
      <c r="J19" s="8"/>
      <c r="K19" s="8"/>
      <c r="L19" s="8"/>
      <c r="M19" s="64"/>
      <c r="N19" s="70"/>
      <c r="O19" s="59"/>
      <c r="P19" s="8"/>
      <c r="Q19" s="8"/>
      <c r="R19" s="8"/>
      <c r="S19" s="66"/>
      <c r="T19" s="67"/>
      <c r="U19" s="68"/>
      <c r="V19" s="8"/>
      <c r="W19" s="8"/>
      <c r="X19" s="8"/>
      <c r="Y19" s="8"/>
      <c r="Z19" s="8"/>
      <c r="AA19" s="8"/>
      <c r="AB19" s="7"/>
    </row>
    <row r="20" spans="2:42" x14ac:dyDescent="0.25">
      <c r="B20" s="71"/>
      <c r="C20" s="69"/>
      <c r="D20" s="8"/>
      <c r="E20" s="8"/>
      <c r="F20" s="8"/>
      <c r="G20" s="8"/>
      <c r="H20" s="72"/>
      <c r="I20" s="73" t="str">
        <f>$AG$36</f>
        <v>MONTÁŽNÍ PLOCHA PRO MOTOR ( L nebo R )</v>
      </c>
      <c r="J20" s="8"/>
      <c r="K20" s="8"/>
      <c r="L20" s="8"/>
      <c r="M20" s="8"/>
      <c r="N20" s="8"/>
      <c r="O20" s="8"/>
      <c r="P20" s="8"/>
      <c r="Q20" s="8"/>
      <c r="R20" s="8"/>
      <c r="S20" s="74"/>
      <c r="T20" s="67"/>
      <c r="U20" s="68"/>
      <c r="V20" s="8"/>
      <c r="W20" s="8"/>
      <c r="X20" s="8"/>
      <c r="Y20" s="8"/>
      <c r="Z20" s="8"/>
      <c r="AA20" s="8"/>
      <c r="AB20" s="7"/>
      <c r="AG20" t="str">
        <f>VLOOKUP(AH20,AH20:AR114,$AE$1,FALSE)</f>
        <v>Montáž na cihlové zdivo</v>
      </c>
      <c r="AH20" t="s">
        <v>121</v>
      </c>
      <c r="AI20" t="s">
        <v>122</v>
      </c>
      <c r="AJ20" t="s">
        <v>123</v>
      </c>
      <c r="AK20" t="s">
        <v>124</v>
      </c>
      <c r="AL20" t="s">
        <v>125</v>
      </c>
      <c r="AM20" t="s">
        <v>126</v>
      </c>
      <c r="AN20" t="s">
        <v>127</v>
      </c>
      <c r="AO20" t="s">
        <v>128</v>
      </c>
      <c r="AP20" t="s">
        <v>129</v>
      </c>
    </row>
    <row r="21" spans="2:42" ht="15.75" x14ac:dyDescent="0.25">
      <c r="B21" s="46"/>
      <c r="C21" s="47"/>
      <c r="D21" s="8"/>
      <c r="E21" s="8"/>
      <c r="F21" s="8"/>
      <c r="G21" s="8"/>
      <c r="H21" s="72"/>
      <c r="I21" s="75" t="str">
        <f>VLOOKUP($AG$48,$AG$2:$AR$96,$AE$1+1,FALSE)</f>
        <v>nezbytný boční prostor pro motor nebo řetězový pohon ( L nebo R )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57">
        <f>K5</f>
        <v>0</v>
      </c>
      <c r="X21" s="8"/>
      <c r="Y21" s="26" t="str">
        <f>VLOOKUP(AG20,AG2:AR96,$AE$1+1,FALSE)</f>
        <v>Montáž na cihlové zdivo</v>
      </c>
      <c r="Z21" s="26"/>
      <c r="AA21" s="8"/>
      <c r="AB21" s="7"/>
      <c r="AG21" t="str">
        <f>VLOOKUP(AH21,AH21:AR115,$AE$1,FALSE)</f>
        <v>Montáž na porobeton</v>
      </c>
      <c r="AH21" t="s">
        <v>130</v>
      </c>
      <c r="AI21" t="s">
        <v>131</v>
      </c>
      <c r="AJ21" t="s">
        <v>132</v>
      </c>
      <c r="AK21" t="s">
        <v>133</v>
      </c>
      <c r="AL21" t="s">
        <v>134</v>
      </c>
      <c r="AM21" t="s">
        <v>135</v>
      </c>
      <c r="AN21" t="s">
        <v>136</v>
      </c>
      <c r="AO21" t="s">
        <v>137</v>
      </c>
      <c r="AP21" t="s">
        <v>138</v>
      </c>
    </row>
    <row r="22" spans="2:42" ht="15.75" x14ac:dyDescent="0.25">
      <c r="B22" s="46"/>
      <c r="C22" s="47"/>
      <c r="D22" s="8"/>
      <c r="E22" s="8"/>
      <c r="F22" s="8"/>
      <c r="G22" s="8"/>
      <c r="H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76"/>
      <c r="U22" s="57"/>
      <c r="X22" s="8"/>
      <c r="Y22" s="26"/>
      <c r="Z22" s="26"/>
      <c r="AA22" s="8"/>
      <c r="AB22" s="7"/>
      <c r="AG22" t="str">
        <f>VLOOKUP(AH22,AH22:AR116,$AE$1,FALSE)</f>
        <v>Montáž na opláštění</v>
      </c>
      <c r="AH22" t="s">
        <v>139</v>
      </c>
      <c r="AI22" t="s">
        <v>140</v>
      </c>
      <c r="AJ22" t="s">
        <v>141</v>
      </c>
      <c r="AK22" t="s">
        <v>142</v>
      </c>
      <c r="AL22" t="s">
        <v>143</v>
      </c>
      <c r="AM22" t="s">
        <v>144</v>
      </c>
      <c r="AN22" t="s">
        <v>145</v>
      </c>
      <c r="AO22" t="s">
        <v>146</v>
      </c>
      <c r="AP22" t="s">
        <v>147</v>
      </c>
    </row>
    <row r="23" spans="2:42" ht="15.75" customHeight="1" x14ac:dyDescent="0.25">
      <c r="B23" s="62" t="str">
        <f>"H="&amp;K5</f>
        <v>H=</v>
      </c>
      <c r="C23" s="47"/>
      <c r="D23" s="8"/>
      <c r="E23" s="8"/>
      <c r="F23" s="8"/>
      <c r="G23" s="8"/>
      <c r="H23" s="8"/>
      <c r="I23" s="77" t="str">
        <f>AG37</f>
        <v>NEZBYTNÝ VOLNÝ PROSTOR</v>
      </c>
      <c r="J23" s="78"/>
      <c r="O23" s="8"/>
      <c r="P23" s="8"/>
      <c r="Q23" s="8"/>
      <c r="R23" s="8"/>
      <c r="S23" s="8"/>
      <c r="T23" s="76"/>
      <c r="U23" s="57"/>
      <c r="X23" s="8"/>
      <c r="Y23" s="26"/>
      <c r="Z23" s="26"/>
      <c r="AA23" s="8"/>
      <c r="AB23" s="7"/>
    </row>
    <row r="24" spans="2:42" ht="15.75" customHeight="1" x14ac:dyDescent="0.25">
      <c r="B24" s="62"/>
      <c r="C24" s="79"/>
      <c r="D24" s="8"/>
      <c r="E24" s="8"/>
      <c r="F24" s="8"/>
      <c r="G24" s="8"/>
      <c r="H24" s="8"/>
      <c r="J24" s="78"/>
      <c r="O24" s="8"/>
      <c r="P24" s="8"/>
      <c r="Q24" s="8"/>
      <c r="R24" s="8"/>
      <c r="S24" s="8"/>
      <c r="T24" s="80"/>
      <c r="U24" s="63" t="s">
        <v>148</v>
      </c>
      <c r="X24" s="8"/>
      <c r="Y24" s="26"/>
      <c r="Z24" s="26"/>
      <c r="AA24" s="8"/>
      <c r="AB24" s="7"/>
    </row>
    <row r="25" spans="2:42" ht="15.75" x14ac:dyDescent="0.25">
      <c r="B25" s="62"/>
      <c r="C25" s="79"/>
      <c r="D25" s="8"/>
      <c r="E25" s="8"/>
      <c r="F25" s="8"/>
      <c r="G25" s="8"/>
      <c r="H25" s="8"/>
      <c r="J25" s="81"/>
      <c r="K25" s="26"/>
      <c r="L25" s="26"/>
      <c r="M25" s="26"/>
      <c r="N25" s="26"/>
      <c r="O25" s="26"/>
      <c r="P25" s="26"/>
      <c r="Q25" s="26"/>
      <c r="R25" s="8"/>
      <c r="S25" s="8"/>
      <c r="T25" s="80"/>
      <c r="U25" s="8"/>
      <c r="X25" s="8"/>
      <c r="Y25" s="26"/>
      <c r="Z25" s="26"/>
      <c r="AA25" s="8"/>
      <c r="AB25" s="7"/>
      <c r="AG25" t="str">
        <f t="shared" ref="AG25:AG32" si="1">VLOOKUP(AH25,AH25:AR119,$AE$1,FALSE)</f>
        <v>PRÁCE, KTERÉ MUSÍ BÝT PROVEDENY ZÁKAZNÍKEM PŘED MONTÁŽÍ, POKUD NEBYLO DOHODNUTO JINAK</v>
      </c>
      <c r="AH25" t="s">
        <v>149</v>
      </c>
      <c r="AI25" t="s">
        <v>150</v>
      </c>
      <c r="AJ25" t="s">
        <v>151</v>
      </c>
      <c r="AK25" t="s">
        <v>152</v>
      </c>
      <c r="AL25" t="s">
        <v>153</v>
      </c>
      <c r="AM25" t="s">
        <v>154</v>
      </c>
      <c r="AN25" t="s">
        <v>155</v>
      </c>
      <c r="AO25" t="s">
        <v>156</v>
      </c>
      <c r="AP25" t="s">
        <v>157</v>
      </c>
    </row>
    <row r="26" spans="2:42" ht="15.75" customHeight="1" x14ac:dyDescent="0.25">
      <c r="B26" s="62"/>
      <c r="C26" s="79"/>
      <c r="D26" s="8"/>
      <c r="E26" s="8"/>
      <c r="F26" s="8"/>
      <c r="G26" s="8"/>
      <c r="H26" s="82"/>
      <c r="I26" s="75" t="str">
        <f>VLOOKUP(AG49,AG2:AR96,$AE$1+1,FALSE)</f>
        <v>montážní plocha pro řídící jednotku motoru, rozměr 250 x 400 mm</v>
      </c>
      <c r="J26" s="81"/>
      <c r="K26" s="26"/>
      <c r="L26" s="26"/>
      <c r="M26" s="26"/>
      <c r="N26" s="26"/>
      <c r="O26" s="26"/>
      <c r="P26" s="26"/>
      <c r="Q26" s="26"/>
      <c r="R26" s="8"/>
      <c r="S26" s="8"/>
      <c r="T26" s="83"/>
      <c r="U26" s="8"/>
      <c r="Y26" s="26" t="str">
        <f>VLOOKUP(AG21,AG2:AR96,$AE$1+1,FALSE)</f>
        <v>Montáž na porobeton</v>
      </c>
      <c r="Z26" s="81"/>
      <c r="AA26" s="8"/>
      <c r="AB26" s="7"/>
      <c r="AG26" t="str">
        <f t="shared" si="1"/>
        <v>Konstrukční:</v>
      </c>
      <c r="AH26" t="s">
        <v>158</v>
      </c>
      <c r="AI26" t="s">
        <v>159</v>
      </c>
      <c r="AJ26" t="s">
        <v>160</v>
      </c>
      <c r="AK26" t="s">
        <v>161</v>
      </c>
      <c r="AL26" t="s">
        <v>162</v>
      </c>
      <c r="AM26" t="s">
        <v>163</v>
      </c>
      <c r="AN26" t="s">
        <v>164</v>
      </c>
      <c r="AO26" t="s">
        <v>165</v>
      </c>
      <c r="AP26" t="s">
        <v>166</v>
      </c>
    </row>
    <row r="27" spans="2:42" ht="15.75" x14ac:dyDescent="0.25">
      <c r="B27" s="84"/>
      <c r="C27" s="47"/>
      <c r="D27" s="8"/>
      <c r="E27" s="8"/>
      <c r="F27" s="8"/>
      <c r="G27" s="8"/>
      <c r="H27" s="85"/>
      <c r="I27" s="86" t="str">
        <f>VLOOKUP(AG50,AG2:AR96,$AE$1+1,FALSE)</f>
        <v>osa cca 1.400 až 1.500 mm od podlahy</v>
      </c>
      <c r="J27" s="81"/>
      <c r="K27" s="26"/>
      <c r="L27" s="26"/>
      <c r="M27" s="26"/>
      <c r="N27" s="26"/>
      <c r="O27" s="26"/>
      <c r="P27" s="26"/>
      <c r="Q27" s="26"/>
      <c r="R27" s="8"/>
      <c r="S27" s="8"/>
      <c r="T27" s="83"/>
      <c r="U27" s="8"/>
      <c r="Y27" s="26"/>
      <c r="Z27" s="81"/>
      <c r="AA27" s="8"/>
      <c r="AB27" s="7"/>
      <c r="AG27" t="str">
        <f t="shared" si="1"/>
        <v>Příprava montážních ploch pro vedení vrat a pro pružiny.</v>
      </c>
      <c r="AH27" t="s">
        <v>167</v>
      </c>
      <c r="AI27" t="s">
        <v>168</v>
      </c>
      <c r="AJ27" t="s">
        <v>169</v>
      </c>
      <c r="AK27" t="s">
        <v>170</v>
      </c>
      <c r="AL27" t="s">
        <v>171</v>
      </c>
      <c r="AM27" t="s">
        <v>172</v>
      </c>
      <c r="AN27" t="s">
        <v>173</v>
      </c>
      <c r="AO27" t="s">
        <v>174</v>
      </c>
      <c r="AP27" t="s">
        <v>175</v>
      </c>
    </row>
    <row r="28" spans="2:42" ht="29.25" customHeight="1" x14ac:dyDescent="0.25">
      <c r="B28" s="84"/>
      <c r="C28" s="87"/>
      <c r="D28" s="8"/>
      <c r="E28" s="8"/>
      <c r="F28" s="8"/>
      <c r="G28" s="8"/>
      <c r="H28" s="68"/>
      <c r="J28" s="81"/>
      <c r="K28" s="26"/>
      <c r="L28" s="26"/>
      <c r="M28" s="26"/>
      <c r="N28" s="26"/>
      <c r="O28" s="26"/>
      <c r="P28" s="26"/>
      <c r="Q28" s="26"/>
      <c r="R28" s="8"/>
      <c r="S28" s="8"/>
      <c r="T28" s="8"/>
      <c r="U28" s="8"/>
      <c r="Y28" s="26"/>
      <c r="Z28" s="81"/>
      <c r="AA28" s="8"/>
      <c r="AB28" s="7"/>
      <c r="AG28" t="str">
        <f t="shared" si="1"/>
        <v>Montáž vodorovného vedení může být max. 1 metr od pevné konstrukce.</v>
      </c>
      <c r="AH28" t="s">
        <v>176</v>
      </c>
      <c r="AI28" t="s">
        <v>177</v>
      </c>
      <c r="AJ28" t="s">
        <v>178</v>
      </c>
      <c r="AK28" t="s">
        <v>179</v>
      </c>
      <c r="AL28" t="s">
        <v>180</v>
      </c>
      <c r="AM28" t="s">
        <v>181</v>
      </c>
      <c r="AN28" t="s">
        <v>182</v>
      </c>
      <c r="AO28" t="s">
        <v>183</v>
      </c>
      <c r="AP28" t="s">
        <v>184</v>
      </c>
    </row>
    <row r="29" spans="2:42" ht="15.75" x14ac:dyDescent="0.25">
      <c r="B29" s="46"/>
      <c r="C29" s="49"/>
      <c r="D29" s="8"/>
      <c r="E29" s="88"/>
      <c r="F29" s="89"/>
      <c r="G29" s="89"/>
      <c r="H29" s="68"/>
      <c r="I29" s="90" t="str">
        <f>VLOOKUP(AG51,AG3:AR97,$AE$1+1,FALSE)</f>
        <v>zásuvka CEE 16 A, 5P, 400 V, jištěno 6 A (10 A) jističem, proudový chránič I=30 mA</v>
      </c>
      <c r="J29" s="81"/>
      <c r="K29" s="26"/>
      <c r="L29" s="26"/>
      <c r="M29" s="26"/>
      <c r="N29" s="26"/>
      <c r="O29" s="26"/>
      <c r="P29" s="26"/>
      <c r="Q29" s="26"/>
      <c r="R29" s="91"/>
      <c r="S29" s="91"/>
      <c r="T29" s="8"/>
      <c r="U29" s="8"/>
      <c r="Y29" s="26"/>
      <c r="Z29" s="81"/>
      <c r="AA29" s="8"/>
      <c r="AB29" s="7"/>
      <c r="AG29" t="str">
        <f t="shared" si="1"/>
        <v>Nezbytné montážní plochy a volný prostor dle nákresu.</v>
      </c>
      <c r="AH29" t="s">
        <v>185</v>
      </c>
      <c r="AI29" t="s">
        <v>186</v>
      </c>
      <c r="AJ29" t="s">
        <v>187</v>
      </c>
      <c r="AK29" t="s">
        <v>188</v>
      </c>
      <c r="AL29" t="s">
        <v>189</v>
      </c>
      <c r="AN29" t="s">
        <v>190</v>
      </c>
      <c r="AO29" t="s">
        <v>191</v>
      </c>
      <c r="AP29" t="s">
        <v>192</v>
      </c>
    </row>
    <row r="30" spans="2:42" ht="17.25" customHeight="1" x14ac:dyDescent="0.25">
      <c r="B30" s="44"/>
      <c r="C30" s="8"/>
      <c r="D30" s="8"/>
      <c r="E30" s="8"/>
      <c r="F30" s="8"/>
      <c r="G30" s="8"/>
      <c r="L30" s="92"/>
      <c r="M30" s="92"/>
      <c r="N30" s="92"/>
      <c r="O30" s="92"/>
      <c r="P30" s="92"/>
      <c r="Q30" s="92"/>
      <c r="R30" s="8"/>
      <c r="S30" s="8"/>
      <c r="T30" s="8"/>
      <c r="U30" s="8"/>
      <c r="Y30" s="26"/>
      <c r="Z30" s="81"/>
      <c r="AA30" s="8"/>
      <c r="AB30" s="7"/>
      <c r="AG30" t="str">
        <f t="shared" si="1"/>
        <v xml:space="preserve">Elekrická příprava (pro elektricky ovládaná sekční vrata): </v>
      </c>
      <c r="AH30" t="s">
        <v>193</v>
      </c>
      <c r="AI30" t="s">
        <v>194</v>
      </c>
      <c r="AJ30" t="s">
        <v>195</v>
      </c>
      <c r="AK30" t="s">
        <v>196</v>
      </c>
      <c r="AL30" t="s">
        <v>197</v>
      </c>
      <c r="AM30" t="s">
        <v>198</v>
      </c>
      <c r="AN30" t="s">
        <v>199</v>
      </c>
      <c r="AO30" t="s">
        <v>200</v>
      </c>
      <c r="AP30" t="s">
        <v>201</v>
      </c>
    </row>
    <row r="31" spans="2:42" ht="15.75" customHeight="1" x14ac:dyDescent="0.25">
      <c r="B31" s="93"/>
      <c r="C31" s="94"/>
      <c r="D31" s="53"/>
      <c r="E31" s="49"/>
      <c r="F31" s="95"/>
      <c r="G31" s="96"/>
      <c r="H31" s="53"/>
      <c r="I31" s="94"/>
      <c r="J31" s="94"/>
      <c r="K31" s="92"/>
      <c r="L31" s="92"/>
      <c r="M31" s="92"/>
      <c r="N31" s="92"/>
      <c r="O31" s="92"/>
      <c r="P31" s="92"/>
      <c r="Q31" s="92"/>
      <c r="T31" s="8"/>
      <c r="U31" s="8"/>
      <c r="Y31" s="97" t="str">
        <f>VLOOKUP(AG22,AG2:AR96,$AE$1+1,FALSE)</f>
        <v>Montáž na opláštění</v>
      </c>
      <c r="Z31" s="97"/>
      <c r="AA31" s="97"/>
      <c r="AB31" s="7"/>
      <c r="AG31" t="str">
        <f t="shared" si="1"/>
        <v>Zásuvka CEE 16 A, 5P, 400 V = zásuvka s nulovým a zemnícím vodičem</v>
      </c>
      <c r="AH31" t="s">
        <v>202</v>
      </c>
      <c r="AI31" t="s">
        <v>203</v>
      </c>
      <c r="AJ31" t="s">
        <v>204</v>
      </c>
      <c r="AK31" t="s">
        <v>205</v>
      </c>
      <c r="AL31" t="s">
        <v>206</v>
      </c>
      <c r="AM31" t="s">
        <v>207</v>
      </c>
      <c r="AN31" t="s">
        <v>208</v>
      </c>
      <c r="AO31" t="s">
        <v>209</v>
      </c>
      <c r="AP31" t="s">
        <v>210</v>
      </c>
    </row>
    <row r="32" spans="2:42" ht="15.75" customHeight="1" x14ac:dyDescent="0.25">
      <c r="B32" s="44"/>
      <c r="C32" s="98">
        <f>IF(K8=AG103,125,IF(AND(K8=AG104,R8=AG108),375,IF(AND(K8=AG105,R8=AG108),375,125)))</f>
        <v>125</v>
      </c>
      <c r="D32" s="8"/>
      <c r="E32" s="8"/>
      <c r="F32" s="8"/>
      <c r="G32" s="8"/>
      <c r="H32" s="8"/>
      <c r="I32" s="98">
        <f>IF(K8=AG103,125,IF(AND(K8=AG104,R8=AG109),375,IF(AND(K8=AG105,R8=AG109),375,125)))</f>
        <v>375</v>
      </c>
      <c r="R32" s="8"/>
      <c r="S32" s="8"/>
      <c r="T32" s="8"/>
      <c r="U32" s="8"/>
      <c r="Y32" s="97"/>
      <c r="Z32" s="97"/>
      <c r="AA32" s="97"/>
      <c r="AB32" s="7"/>
      <c r="AG32" t="str">
        <f t="shared" si="1"/>
        <v>Zajistit vhodnou montážní plochu pro řídící jednotku motoru 250 x 400 mm</v>
      </c>
      <c r="AH32" t="s">
        <v>211</v>
      </c>
      <c r="AI32" t="s">
        <v>212</v>
      </c>
      <c r="AJ32" t="s">
        <v>213</v>
      </c>
      <c r="AK32" t="s">
        <v>214</v>
      </c>
      <c r="AL32" t="s">
        <v>215</v>
      </c>
      <c r="AM32" t="s">
        <v>216</v>
      </c>
      <c r="AN32" t="s">
        <v>217</v>
      </c>
      <c r="AO32" t="s">
        <v>218</v>
      </c>
      <c r="AP32" t="s">
        <v>219</v>
      </c>
    </row>
    <row r="33" spans="1:42" x14ac:dyDescent="0.25">
      <c r="B33" s="44"/>
      <c r="C33" s="8"/>
      <c r="D33" s="8"/>
      <c r="E33" s="8"/>
      <c r="F33" s="8"/>
      <c r="G33" s="8"/>
      <c r="H33" s="4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AA33" s="8"/>
      <c r="AB33" s="7"/>
    </row>
    <row r="34" spans="1:42" x14ac:dyDescent="0.25">
      <c r="B34" s="44"/>
      <c r="C34" s="8"/>
      <c r="D34" s="58">
        <f>IF($K$11="2""",80,100)</f>
        <v>100</v>
      </c>
      <c r="E34" s="8"/>
      <c r="F34" s="8"/>
      <c r="G34" s="99">
        <f>IF($K$11="2""",80,100)</f>
        <v>100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AA34" s="8"/>
      <c r="AB34" s="7"/>
    </row>
    <row r="35" spans="1:42" x14ac:dyDescent="0.25">
      <c r="B35" s="4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00">
        <f>IF($K$9=$AG$118,290,250)</f>
        <v>250</v>
      </c>
      <c r="S35" s="8"/>
      <c r="T35" s="8"/>
      <c r="U35" s="8"/>
      <c r="V35" s="8"/>
      <c r="W35" s="8"/>
      <c r="AA35" s="8"/>
      <c r="AB35" s="7"/>
      <c r="AG35" t="str">
        <f>VLOOKUP(AH35,AH35:AR129,$AE$1,FALSE)</f>
        <v>NEZBYTNÁ MONTÁŽNÍ PLOCHA</v>
      </c>
      <c r="AH35" t="s">
        <v>220</v>
      </c>
      <c r="AI35" t="s">
        <v>221</v>
      </c>
      <c r="AJ35" t="s">
        <v>222</v>
      </c>
      <c r="AK35" t="s">
        <v>223</v>
      </c>
      <c r="AL35" t="s">
        <v>224</v>
      </c>
      <c r="AM35" t="s">
        <v>225</v>
      </c>
      <c r="AN35" t="s">
        <v>226</v>
      </c>
      <c r="AO35" t="s">
        <v>227</v>
      </c>
      <c r="AP35" t="s">
        <v>228</v>
      </c>
    </row>
    <row r="36" spans="1:42" x14ac:dyDescent="0.25">
      <c r="B36" s="44"/>
      <c r="C36" s="58">
        <f>IF(K7=AG102,125,IF(AND(K7=AG103,R7=AG107),375,IF(AND(K7=AG104,R7=AG107),375,125)))</f>
        <v>125</v>
      </c>
      <c r="D36" s="8"/>
      <c r="E36" s="51" t="s">
        <v>229</v>
      </c>
      <c r="F36" s="58">
        <f>$K$3</f>
        <v>0</v>
      </c>
      <c r="G36" s="8"/>
      <c r="H36" s="8"/>
      <c r="I36" s="49">
        <f>IF(K7=AG102,125,IF(AND(K7=AG103,R7=AG108),375,IF(AND(K7=AG104,R7=AG108),375,125)))</f>
        <v>125</v>
      </c>
      <c r="J36" s="8"/>
      <c r="K36" s="8"/>
      <c r="L36" s="8"/>
      <c r="M36" s="8"/>
      <c r="N36" s="8"/>
      <c r="O36" s="8"/>
      <c r="P36" s="8"/>
      <c r="Q36" s="8"/>
      <c r="R36" s="100"/>
      <c r="S36" s="8"/>
      <c r="T36" s="8"/>
      <c r="U36" s="8"/>
      <c r="V36" s="8"/>
      <c r="W36" s="8"/>
      <c r="AA36" s="8"/>
      <c r="AB36" s="7"/>
      <c r="AG36" t="str">
        <f>VLOOKUP(AH36,AH36:AR130,$AE$1,FALSE)</f>
        <v>MONTÁŽNÍ PLOCHA PRO MOTOR ( L nebo R )</v>
      </c>
      <c r="AH36" t="s">
        <v>230</v>
      </c>
      <c r="AI36" t="s">
        <v>231</v>
      </c>
      <c r="AJ36" t="s">
        <v>232</v>
      </c>
      <c r="AK36" t="s">
        <v>233</v>
      </c>
      <c r="AL36" t="s">
        <v>234</v>
      </c>
      <c r="AM36" t="s">
        <v>235</v>
      </c>
      <c r="AN36" t="s">
        <v>236</v>
      </c>
      <c r="AO36" t="s">
        <v>237</v>
      </c>
      <c r="AP36" t="s">
        <v>238</v>
      </c>
    </row>
    <row r="37" spans="1:42" ht="15.75" x14ac:dyDescent="0.25">
      <c r="B37" s="44"/>
      <c r="C37" s="8"/>
      <c r="D37" s="8"/>
      <c r="E37" s="8"/>
      <c r="F37" s="8"/>
      <c r="G37" s="8"/>
      <c r="H37" s="8"/>
      <c r="I37" s="8"/>
      <c r="J37" s="8"/>
      <c r="K37" s="8"/>
      <c r="L37" s="26" t="str">
        <f>VLOOKUP(AG41,AG2:AR96,$AE$1+1,FALSE)</f>
        <v>sklon podlahy</v>
      </c>
      <c r="M37" s="8"/>
      <c r="N37" s="8"/>
      <c r="O37" s="8"/>
      <c r="P37" s="8"/>
      <c r="Q37" s="8"/>
      <c r="R37" s="58"/>
      <c r="S37" s="8"/>
      <c r="T37" s="8"/>
      <c r="U37" s="8"/>
      <c r="V37" s="8"/>
      <c r="W37" s="8"/>
      <c r="AA37" s="8"/>
      <c r="AB37" s="7"/>
      <c r="AG37" t="str">
        <f>VLOOKUP(AH37,AH37:AR131,$AE$1,FALSE)</f>
        <v>NEZBYTNÝ VOLNÝ PROSTOR</v>
      </c>
      <c r="AH37" t="s">
        <v>239</v>
      </c>
      <c r="AI37" t="s">
        <v>240</v>
      </c>
      <c r="AJ37" t="s">
        <v>241</v>
      </c>
      <c r="AK37" t="s">
        <v>242</v>
      </c>
      <c r="AL37" t="s">
        <v>243</v>
      </c>
      <c r="AM37" t="s">
        <v>244</v>
      </c>
      <c r="AN37" t="s">
        <v>245</v>
      </c>
      <c r="AO37" t="s">
        <v>246</v>
      </c>
      <c r="AP37" t="s">
        <v>247</v>
      </c>
    </row>
    <row r="38" spans="1:42" ht="15.75" x14ac:dyDescent="0.25">
      <c r="B38" s="4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6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7"/>
    </row>
    <row r="39" spans="1:42" ht="18.75" x14ac:dyDescent="0.3">
      <c r="B39" s="44"/>
      <c r="C39" s="8"/>
      <c r="D39" s="8"/>
      <c r="E39" s="18" t="str">
        <f>VLOOKUP(AG7,AG2:AR96,$AE$1+1,FALSE)</f>
        <v>ŘEZ B-B</v>
      </c>
      <c r="F39" s="8"/>
      <c r="H39" s="8"/>
      <c r="I39" s="8"/>
      <c r="J39" s="8"/>
      <c r="K39" s="8"/>
      <c r="L39" s="8"/>
      <c r="N39" s="81"/>
      <c r="O39" s="26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7"/>
    </row>
    <row r="40" spans="1:42" ht="15.75" x14ac:dyDescent="0.25">
      <c r="B40" s="4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6"/>
      <c r="O40" s="81"/>
      <c r="P40" s="95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7"/>
    </row>
    <row r="41" spans="1:42" ht="15.75" x14ac:dyDescent="0.25">
      <c r="B41" s="4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6"/>
      <c r="O41" s="81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7"/>
      <c r="AG41" t="str">
        <f>VLOOKUP(AH41,AH41:AR135,$AE$1,FALSE)</f>
        <v>sklon podlahy</v>
      </c>
      <c r="AH41" t="s">
        <v>248</v>
      </c>
      <c r="AI41" t="s">
        <v>249</v>
      </c>
      <c r="AJ41" t="s">
        <v>250</v>
      </c>
      <c r="AK41" t="s">
        <v>251</v>
      </c>
      <c r="AL41" t="s">
        <v>252</v>
      </c>
      <c r="AM41" t="s">
        <v>253</v>
      </c>
      <c r="AN41" t="s">
        <v>254</v>
      </c>
      <c r="AO41" t="s">
        <v>255</v>
      </c>
      <c r="AP41" t="s">
        <v>256</v>
      </c>
    </row>
    <row r="42" spans="1:42" ht="15.75" x14ac:dyDescent="0.25">
      <c r="B42" s="44"/>
      <c r="C42" s="68">
        <f>IF($K$9=$AG$118,290,250)</f>
        <v>250</v>
      </c>
      <c r="D42" s="8"/>
      <c r="E42" s="8"/>
      <c r="F42" s="8"/>
      <c r="G42" s="8"/>
      <c r="H42" s="8"/>
      <c r="I42" s="8"/>
      <c r="J42" s="8"/>
      <c r="K42" s="8"/>
      <c r="L42" s="8"/>
      <c r="M42" s="8"/>
      <c r="O42" s="81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  <c r="AG42" t="str">
        <f>VLOOKUP(AH42,AH42:AR136,$AE$1,FALSE)</f>
        <v>směrem ven</v>
      </c>
      <c r="AH42" t="s">
        <v>257</v>
      </c>
      <c r="AI42" t="s">
        <v>258</v>
      </c>
      <c r="AJ42" t="s">
        <v>259</v>
      </c>
      <c r="AK42" t="s">
        <v>260</v>
      </c>
      <c r="AL42" t="str">
        <f>""</f>
        <v/>
      </c>
      <c r="AM42" t="s">
        <v>261</v>
      </c>
      <c r="AN42" t="s">
        <v>262</v>
      </c>
      <c r="AO42" t="s">
        <v>263</v>
      </c>
    </row>
    <row r="43" spans="1:42" ht="15.75" customHeight="1" x14ac:dyDescent="0.25">
      <c r="B43" s="44"/>
      <c r="C43" s="68"/>
      <c r="D43" s="8"/>
      <c r="E43" s="8"/>
      <c r="F43" s="8"/>
      <c r="G43" s="8"/>
      <c r="H43" s="8"/>
      <c r="I43" s="8"/>
      <c r="J43" s="8"/>
      <c r="K43" s="8"/>
      <c r="L43" s="8"/>
      <c r="M43" s="8"/>
      <c r="N43" s="26"/>
      <c r="O43" s="81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G43" t="str">
        <f>VLOOKUP(AH43,AH43:AR137,$AE$1,FALSE)</f>
        <v>sklon 3%</v>
      </c>
      <c r="AH43" t="s">
        <v>264</v>
      </c>
      <c r="AI43" t="s">
        <v>265</v>
      </c>
      <c r="AJ43" t="s">
        <v>266</v>
      </c>
      <c r="AK43" t="s">
        <v>267</v>
      </c>
      <c r="AL43" t="s">
        <v>268</v>
      </c>
      <c r="AM43" t="s">
        <v>269</v>
      </c>
      <c r="AN43" t="s">
        <v>270</v>
      </c>
      <c r="AO43" t="s">
        <v>271</v>
      </c>
      <c r="AP43" t="s">
        <v>272</v>
      </c>
    </row>
    <row r="44" spans="1:42" ht="15.75" x14ac:dyDescent="0.25">
      <c r="B44" s="44"/>
      <c r="C44" s="8"/>
      <c r="D44" s="8"/>
      <c r="E44" s="8"/>
      <c r="F44" s="8"/>
      <c r="G44" s="8"/>
      <c r="H44" s="8"/>
      <c r="I44" s="8"/>
      <c r="J44" s="8"/>
      <c r="K44" s="8"/>
      <c r="L44" s="26"/>
      <c r="M44" s="8"/>
      <c r="N44" s="26"/>
      <c r="O44" s="81"/>
      <c r="P44" s="8"/>
      <c r="Q44" s="8"/>
      <c r="R44" s="8"/>
      <c r="U44" s="8"/>
      <c r="V44" s="8"/>
      <c r="W44" s="8"/>
      <c r="X44" s="8"/>
      <c r="Y44" s="8"/>
      <c r="Z44" s="8"/>
      <c r="AA44" s="8"/>
      <c r="AB44" s="7"/>
      <c r="AG44" t="str">
        <f>VLOOKUP(AH44,AH44:AR138,$AE$1,FALSE)</f>
        <v>směrem ven</v>
      </c>
      <c r="AH44" t="s">
        <v>257</v>
      </c>
      <c r="AI44" t="s">
        <v>273</v>
      </c>
      <c r="AJ44" t="s">
        <v>274</v>
      </c>
      <c r="AK44" t="s">
        <v>260</v>
      </c>
      <c r="AL44" t="s">
        <v>252</v>
      </c>
      <c r="AM44" t="s">
        <v>275</v>
      </c>
      <c r="AN44" t="s">
        <v>276</v>
      </c>
      <c r="AO44" t="s">
        <v>277</v>
      </c>
    </row>
    <row r="45" spans="1:42" ht="15.75" customHeight="1" x14ac:dyDescent="0.25">
      <c r="B45" s="44"/>
      <c r="C45" s="101"/>
      <c r="E45" s="99" t="s">
        <v>278</v>
      </c>
      <c r="F45" s="58">
        <f>$C$31+$I$31+$E$31</f>
        <v>0</v>
      </c>
      <c r="G45" s="8"/>
      <c r="H45" s="8"/>
      <c r="I45" s="8"/>
      <c r="J45" s="8"/>
      <c r="K45" s="8"/>
      <c r="L45" s="8"/>
      <c r="M45" s="8"/>
      <c r="N45" s="26"/>
      <c r="O45" s="81"/>
      <c r="P45" s="8"/>
      <c r="R45" s="102" t="str">
        <f>VLOOKUP(AG35,AG2:AR96,$AE$1+1,FALSE)</f>
        <v>NEZBYTNÁ MONTÁŽNÍ PLOCHA</v>
      </c>
      <c r="S45" s="103"/>
      <c r="T45" s="102"/>
      <c r="U45" s="102"/>
      <c r="V45" s="102"/>
      <c r="W45" s="103"/>
      <c r="X45" s="102" t="str">
        <f>VLOOKUP(AG37,AG4:AR97,$AE$1+1,FALSE)</f>
        <v>NEZBYTNÝ VOLNÝ PROSTOR</v>
      </c>
      <c r="Y45" s="102"/>
      <c r="Z45" s="102"/>
      <c r="AA45" s="102"/>
      <c r="AB45" s="7"/>
      <c r="AG45" t="str">
        <f>VLOOKUP(AH45,AH45:AR139,$AE$1,FALSE)</f>
        <v>sklon podlahy</v>
      </c>
      <c r="AH45" t="s">
        <v>248</v>
      </c>
      <c r="AI45" t="s">
        <v>279</v>
      </c>
      <c r="AJ45" t="s">
        <v>280</v>
      </c>
      <c r="AK45" t="s">
        <v>251</v>
      </c>
      <c r="AL45" t="str">
        <f>""</f>
        <v/>
      </c>
      <c r="AM45" t="s">
        <v>281</v>
      </c>
      <c r="AN45" t="s">
        <v>282</v>
      </c>
      <c r="AO45" t="s">
        <v>283</v>
      </c>
      <c r="AP45" t="s">
        <v>284</v>
      </c>
    </row>
    <row r="46" spans="1:42" ht="15.75" x14ac:dyDescent="0.25">
      <c r="B46" s="44"/>
      <c r="C46" s="10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1"/>
      <c r="P46" s="8"/>
      <c r="R46" s="102"/>
      <c r="S46" s="103"/>
      <c r="T46" s="102"/>
      <c r="U46" s="102"/>
      <c r="V46" s="102"/>
      <c r="W46" s="103"/>
      <c r="X46" s="102"/>
      <c r="Y46" s="102"/>
      <c r="Z46" s="102"/>
      <c r="AA46" s="102"/>
      <c r="AB46" s="7"/>
    </row>
    <row r="47" spans="1:42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P47" s="8"/>
      <c r="R47" s="102" t="str">
        <f>VLOOKUP(AG36,AG4:AR97,$AE$1+1,FALSE)</f>
        <v>MONTÁŽNÍ PLOCHA PRO MOTOR ( L nebo R )</v>
      </c>
      <c r="S47" s="102"/>
      <c r="T47" s="102"/>
      <c r="U47" s="102"/>
      <c r="V47" s="102"/>
      <c r="W47" s="103"/>
      <c r="X47" s="102"/>
      <c r="Y47" s="102"/>
      <c r="Z47" s="102"/>
      <c r="AA47" s="102"/>
      <c r="AB47" s="7"/>
    </row>
    <row r="48" spans="1:42" x14ac:dyDescent="0.25">
      <c r="A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G48" t="str">
        <f>VLOOKUP(AH48,AH48:AR142,$AE$1,FALSE)</f>
        <v>nezbytný boční prostor pro motor nebo řetězový pohon ( L nebo R )</v>
      </c>
      <c r="AH48" t="s">
        <v>285</v>
      </c>
      <c r="AI48" t="s">
        <v>286</v>
      </c>
      <c r="AJ48" t="s">
        <v>287</v>
      </c>
      <c r="AK48" t="s">
        <v>288</v>
      </c>
      <c r="AL48" t="s">
        <v>289</v>
      </c>
      <c r="AM48" t="s">
        <v>290</v>
      </c>
      <c r="AN48" t="s">
        <v>291</v>
      </c>
      <c r="AO48" t="s">
        <v>292</v>
      </c>
      <c r="AP48" t="s">
        <v>293</v>
      </c>
    </row>
    <row r="49" spans="1:42" ht="15.75" x14ac:dyDescent="0.25">
      <c r="A49" s="7"/>
      <c r="B49" s="26" t="str">
        <f>VLOOKUP(AG8,AG2:AR96,$AE$1+1,FALSE)</f>
        <v>POZNÁMKA:</v>
      </c>
      <c r="C49" s="26"/>
      <c r="D49" s="26"/>
      <c r="E49" s="26"/>
      <c r="F49" s="26"/>
      <c r="G49" s="26"/>
      <c r="H49" s="26"/>
      <c r="I49" s="26"/>
      <c r="J49" s="26"/>
      <c r="K49" s="26"/>
      <c r="L49" s="8"/>
      <c r="M49" s="8"/>
      <c r="N49" s="8"/>
      <c r="O49" s="8"/>
      <c r="P49" s="8"/>
      <c r="Q49" s="8"/>
      <c r="AB49" s="7"/>
      <c r="AG49" t="str">
        <f>VLOOKUP(AH49,AH49:AR143,$AE$1,FALSE)</f>
        <v>montážní plocha pro řídící jednotku motoru, rozměr 250 x 400 mm</v>
      </c>
      <c r="AH49" t="s">
        <v>294</v>
      </c>
      <c r="AI49" t="s">
        <v>295</v>
      </c>
      <c r="AJ49" t="s">
        <v>296</v>
      </c>
      <c r="AK49" t="s">
        <v>297</v>
      </c>
      <c r="AL49" t="s">
        <v>298</v>
      </c>
      <c r="AM49" t="s">
        <v>299</v>
      </c>
      <c r="AN49" t="s">
        <v>300</v>
      </c>
      <c r="AO49" t="s">
        <v>301</v>
      </c>
      <c r="AP49" t="s">
        <v>302</v>
      </c>
    </row>
    <row r="50" spans="1:42" ht="15.75" x14ac:dyDescent="0.25">
      <c r="A50" s="7"/>
      <c r="B50" s="81"/>
      <c r="C50" s="26"/>
      <c r="D50" s="26"/>
      <c r="E50" s="26"/>
      <c r="F50" s="26"/>
      <c r="G50" s="26"/>
      <c r="H50" s="26"/>
      <c r="I50" s="26"/>
      <c r="J50" s="26"/>
      <c r="K50" s="26"/>
      <c r="L50" s="8"/>
      <c r="M50" s="8"/>
      <c r="N50" s="8"/>
      <c r="O50" s="8"/>
      <c r="P50" s="8"/>
      <c r="Q50" s="8"/>
      <c r="AB50" s="7"/>
      <c r="AG50" t="str">
        <f>VLOOKUP(AH50,AH50:AR144,$AE$1,FALSE)</f>
        <v>osa cca 1.400 až 1.500 mm od podlahy</v>
      </c>
      <c r="AH50" t="s">
        <v>303</v>
      </c>
      <c r="AI50" t="s">
        <v>304</v>
      </c>
      <c r="AJ50" t="s">
        <v>305</v>
      </c>
      <c r="AK50" t="s">
        <v>306</v>
      </c>
      <c r="AL50" t="s">
        <v>307</v>
      </c>
      <c r="AM50" t="s">
        <v>308</v>
      </c>
      <c r="AN50" t="s">
        <v>309</v>
      </c>
      <c r="AO50" t="s">
        <v>310</v>
      </c>
      <c r="AP50" t="s">
        <v>311</v>
      </c>
    </row>
    <row r="51" spans="1:42" ht="15.75" x14ac:dyDescent="0.25">
      <c r="B51" s="104" t="str">
        <f>VLOOKUP(AG55,AG2:AR96,$AE$1+1,FALSE)</f>
        <v xml:space="preserve">Plocha, která se montuje, musí být rovná a pevná a všechny montážní plochy musí být v jedné rovině. </v>
      </c>
      <c r="C51" s="105"/>
      <c r="D51" s="105"/>
      <c r="E51" s="105"/>
      <c r="F51" s="105"/>
      <c r="G51" s="105"/>
      <c r="H51" s="105"/>
      <c r="I51" s="105"/>
      <c r="J51" s="105"/>
      <c r="K51" s="26"/>
      <c r="L51" s="8"/>
      <c r="M51" s="8"/>
      <c r="N51" s="8"/>
      <c r="O51" s="8"/>
      <c r="R51" s="106" t="str">
        <f>VLOOKUP(AG25,AG2:AR96,$AE$1+1,FALSE)</f>
        <v>PRÁCE, KTERÉ MUSÍ BÝT PROVEDENY ZÁKAZNÍKEM PŘED MONTÁŽÍ, POKUD NEBYLO DOHODNUTO JINAK</v>
      </c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G51" t="str">
        <f>VLOOKUP(AH51,AH51:AR145,$AE$1,FALSE)</f>
        <v>zásuvka CEE 16 A, 5P, 400 V, jištěno 6 A (10 A) jističem, proudový chránič I=30 mA</v>
      </c>
      <c r="AH51" t="s">
        <v>312</v>
      </c>
      <c r="AI51" t="s">
        <v>313</v>
      </c>
      <c r="AJ51" t="s">
        <v>314</v>
      </c>
      <c r="AK51" t="s">
        <v>315</v>
      </c>
      <c r="AL51" t="s">
        <v>316</v>
      </c>
      <c r="AM51" t="s">
        <v>317</v>
      </c>
      <c r="AN51" t="s">
        <v>318</v>
      </c>
      <c r="AO51" t="s">
        <v>319</v>
      </c>
      <c r="AP51" t="s">
        <v>320</v>
      </c>
    </row>
    <row r="52" spans="1:42" ht="15.75" x14ac:dyDescent="0.25">
      <c r="B52" s="108" t="str">
        <f>VLOOKUP(AG56,AG2:AR96,$AE$1+1,FALSE)</f>
        <v>Otvor musí být svislý a obdélníkový.</v>
      </c>
      <c r="C52" s="26"/>
      <c r="D52" s="26"/>
      <c r="E52" s="26"/>
      <c r="F52" s="26"/>
      <c r="G52" s="26"/>
      <c r="H52" s="26"/>
      <c r="I52" s="26"/>
      <c r="J52" s="26"/>
      <c r="K52" s="26"/>
      <c r="L52" s="8"/>
      <c r="M52" s="8"/>
      <c r="N52" s="8"/>
      <c r="O52" s="8"/>
      <c r="Q52" s="8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7"/>
      <c r="AC52" s="8"/>
    </row>
    <row r="53" spans="1:42" ht="15.75" customHeight="1" x14ac:dyDescent="0.25">
      <c r="B53" s="108" t="str">
        <f>VLOOKUP(AG57,AG2:AR96,$AE$1+1,FALSE)</f>
        <v>Podlaha musí být rovná a vodorovná.</v>
      </c>
      <c r="C53" s="26"/>
      <c r="D53" s="26"/>
      <c r="E53" s="26"/>
      <c r="F53" s="26"/>
      <c r="G53" s="26"/>
      <c r="H53" s="26"/>
      <c r="I53" s="26"/>
      <c r="J53" s="26"/>
      <c r="K53" s="26"/>
      <c r="L53" s="8"/>
      <c r="M53" s="8"/>
      <c r="N53" s="8"/>
      <c r="O53" s="8"/>
      <c r="Q53" s="8"/>
      <c r="R53" s="8" t="str">
        <f>VLOOKUP(AG26,AG2:AR96,$AE$1+1,FALSE)</f>
        <v>Konstrukční:</v>
      </c>
      <c r="AB53" s="7"/>
      <c r="AC53" s="8"/>
    </row>
    <row r="54" spans="1:42" ht="15.75" customHeight="1" thickBot="1" x14ac:dyDescent="0.3">
      <c r="B54" s="108"/>
      <c r="C54" s="26"/>
      <c r="D54" s="26"/>
      <c r="E54" s="26"/>
      <c r="F54" s="26"/>
      <c r="G54" s="26"/>
      <c r="H54" s="109"/>
      <c r="I54" s="109"/>
      <c r="J54" s="109"/>
      <c r="K54" s="109"/>
      <c r="L54" s="8"/>
      <c r="M54" s="8"/>
      <c r="N54" s="8"/>
      <c r="O54" s="8"/>
      <c r="Q54" s="8"/>
      <c r="R54" s="110" t="str">
        <f>VLOOKUP(AG27,AG2:AR96,$AE$1+1,FALSE)</f>
        <v>Příprava montážních ploch pro vedení vrat a pro pružiny.</v>
      </c>
      <c r="S54" s="110"/>
      <c r="T54" s="110"/>
      <c r="U54" s="110"/>
      <c r="V54" s="110"/>
      <c r="W54" s="110"/>
      <c r="X54" s="110"/>
      <c r="Y54" s="110"/>
      <c r="Z54" s="110"/>
      <c r="AA54" s="110"/>
      <c r="AB54" s="111"/>
      <c r="AC54" s="8"/>
    </row>
    <row r="55" spans="1:42" ht="15.75" customHeight="1" thickBot="1" x14ac:dyDescent="0.3">
      <c r="B55" s="112" t="str">
        <f>VLOOKUP(AG60,AG2:AR96,$AE$1+1,FALSE)</f>
        <v>Rozměry jsou v mm</v>
      </c>
      <c r="C55" s="113"/>
      <c r="D55" s="113"/>
      <c r="E55" s="113"/>
      <c r="F55" s="114"/>
      <c r="G55" s="115" t="str">
        <f>VLOOKUP(AG74,AG6:AR99,$AE$1+1,FALSE)</f>
        <v>Ruční ovládání</v>
      </c>
      <c r="H55" s="116"/>
      <c r="I55" s="116"/>
      <c r="J55" s="116"/>
      <c r="K55" s="116"/>
      <c r="L55" s="117"/>
      <c r="M55" s="115" t="str">
        <f>VLOOKUP(AG81,AG6:AR99,$AE$1+1,FALSE)</f>
        <v>Volný prostor nad překladem</v>
      </c>
      <c r="N55" s="115"/>
      <c r="O55" s="115"/>
      <c r="P55" s="117"/>
      <c r="Q55" s="8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1"/>
      <c r="AC55" s="8"/>
      <c r="AG55" t="str">
        <f>VLOOKUP(AH55,AH55:AR149,$AE$1,FALSE)</f>
        <v xml:space="preserve">Plocha, která se montuje, musí být rovná a pevná a všechny montážní plochy musí být v jedné rovině. </v>
      </c>
      <c r="AH55" t="s">
        <v>321</v>
      </c>
      <c r="AI55" t="s">
        <v>322</v>
      </c>
      <c r="AJ55" t="s">
        <v>323</v>
      </c>
      <c r="AK55" t="s">
        <v>324</v>
      </c>
      <c r="AL55" t="s">
        <v>325</v>
      </c>
      <c r="AM55" t="s">
        <v>326</v>
      </c>
      <c r="AN55" t="s">
        <v>327</v>
      </c>
      <c r="AO55" t="s">
        <v>328</v>
      </c>
      <c r="AP55" t="s">
        <v>329</v>
      </c>
    </row>
    <row r="56" spans="1:42" ht="15.75" thickBot="1" x14ac:dyDescent="0.3">
      <c r="B56" s="118" t="s">
        <v>330</v>
      </c>
      <c r="C56" s="119" t="str">
        <f>VLOOKUP(AG61,AG2:AR96,$AE$1+1,FALSE)</f>
        <v>Šířka otvoru</v>
      </c>
      <c r="D56" s="120"/>
      <c r="E56" s="119"/>
      <c r="F56" s="121"/>
      <c r="G56" s="118" t="s">
        <v>331</v>
      </c>
      <c r="H56" s="120" t="str">
        <f>VLOOKUP(AG75,AG6:AR99,$AE$1+1,FALSE)</f>
        <v>Obě strany</v>
      </c>
      <c r="I56" s="120"/>
      <c r="J56" s="17"/>
      <c r="K56" s="120"/>
      <c r="L56" s="121" t="str">
        <f>IF(K11=AG127,"min.150","min. 125")</f>
        <v>min. 125</v>
      </c>
      <c r="M56" s="122" t="s">
        <v>332</v>
      </c>
      <c r="N56" s="123"/>
      <c r="O56" s="124"/>
      <c r="P56" s="125">
        <f>IF(K9=AG117,350,390)</f>
        <v>390</v>
      </c>
      <c r="Q56" s="8"/>
      <c r="AB56" s="7"/>
      <c r="AC56" s="8"/>
      <c r="AG56" t="str">
        <f>VLOOKUP(AH56,AH56:AR150,$AE$1,FALSE)</f>
        <v>Otvor musí být svislý a obdélníkový.</v>
      </c>
      <c r="AH56" t="s">
        <v>333</v>
      </c>
      <c r="AI56" t="s">
        <v>334</v>
      </c>
      <c r="AJ56" t="s">
        <v>335</v>
      </c>
      <c r="AK56" t="s">
        <v>336</v>
      </c>
      <c r="AL56" t="s">
        <v>337</v>
      </c>
      <c r="AM56" t="s">
        <v>338</v>
      </c>
      <c r="AN56" t="s">
        <v>339</v>
      </c>
      <c r="AO56" t="s">
        <v>340</v>
      </c>
      <c r="AP56" t="s">
        <v>341</v>
      </c>
    </row>
    <row r="57" spans="1:42" ht="15.75" thickBot="1" x14ac:dyDescent="0.3">
      <c r="B57" s="118" t="s">
        <v>342</v>
      </c>
      <c r="C57" s="119" t="str">
        <f>VLOOKUP(AG62,AG3:AR96,$AE$1+1,FALSE)</f>
        <v>Výška otvoru</v>
      </c>
      <c r="D57" s="120"/>
      <c r="E57" s="120"/>
      <c r="F57" s="121"/>
      <c r="G57" s="118"/>
      <c r="H57" s="120"/>
      <c r="I57" s="120"/>
      <c r="J57" s="120"/>
      <c r="K57" s="126"/>
      <c r="L57" s="121"/>
      <c r="M57" s="127"/>
      <c r="N57" s="128"/>
      <c r="O57" s="128"/>
      <c r="P57" s="114"/>
      <c r="R57" s="8" t="str">
        <f>VLOOKUP(AG29,AG2:AR96,$AE$1+1,FALSE)</f>
        <v>Nezbytné montážní plochy a volný prostor dle nákresu.</v>
      </c>
      <c r="S57" s="8"/>
      <c r="T57" s="8"/>
      <c r="U57" s="8"/>
      <c r="V57" s="8"/>
      <c r="W57" s="8"/>
      <c r="X57" s="8"/>
      <c r="Y57" s="8"/>
      <c r="Z57" s="8"/>
      <c r="AA57" s="8"/>
      <c r="AB57" s="7"/>
      <c r="AG57" t="str">
        <f>VLOOKUP(AH57,AH57:AR151,$AE$1,FALSE)</f>
        <v>Podlaha musí být rovná a vodorovná.</v>
      </c>
      <c r="AH57" t="s">
        <v>343</v>
      </c>
      <c r="AI57" t="s">
        <v>344</v>
      </c>
      <c r="AJ57" t="s">
        <v>345</v>
      </c>
      <c r="AK57" t="s">
        <v>346</v>
      </c>
      <c r="AL57" t="s">
        <v>347</v>
      </c>
      <c r="AM57" t="s">
        <v>348</v>
      </c>
      <c r="AN57" t="s">
        <v>349</v>
      </c>
      <c r="AO57" t="s">
        <v>350</v>
      </c>
      <c r="AP57" t="s">
        <v>351</v>
      </c>
    </row>
    <row r="58" spans="1:42" ht="15.75" thickBot="1" x14ac:dyDescent="0.3">
      <c r="B58" s="118" t="s">
        <v>352</v>
      </c>
      <c r="C58" s="119" t="str">
        <f>VLOOKUP(AG65,AG5:AR98,$AE$1+1,FALSE)</f>
        <v>Volný prostor nad překladem</v>
      </c>
      <c r="D58" s="120"/>
      <c r="E58" s="120"/>
      <c r="F58" s="121"/>
      <c r="G58" s="129" t="str">
        <f>VLOOKUP(AG76,AG6:AR99,$AE$1+1,FALSE)</f>
        <v>Ovládání elektricky nebo řetězovým převodem</v>
      </c>
      <c r="H58" s="130"/>
      <c r="I58" s="130"/>
      <c r="J58" s="130"/>
      <c r="K58" s="130"/>
      <c r="L58" s="131"/>
      <c r="M58" s="129" t="str">
        <f>VLOOKUP(AG82,AG6:AR99,$AE$1+1,FALSE)</f>
        <v>Osa hřídele nad překladem</v>
      </c>
      <c r="N58" s="115"/>
      <c r="O58" s="132"/>
      <c r="P58" s="133"/>
      <c r="R58" s="8" t="str">
        <f>VLOOKUP(AG30,AG2:AR96,$AE$1+1,FALSE)</f>
        <v xml:space="preserve">Elekrická příprava (pro elektricky ovládaná sekční vrata): </v>
      </c>
      <c r="S58" s="8"/>
      <c r="T58" s="8"/>
      <c r="U58" s="8"/>
      <c r="V58" s="8"/>
      <c r="W58" s="8"/>
      <c r="X58" s="8"/>
      <c r="Y58" s="8"/>
      <c r="Z58" s="8"/>
      <c r="AA58" s="8"/>
      <c r="AB58" s="7"/>
    </row>
    <row r="59" spans="1:42" ht="15.75" thickBot="1" x14ac:dyDescent="0.3">
      <c r="A59" s="7"/>
      <c r="B59" s="118" t="s">
        <v>353</v>
      </c>
      <c r="C59" s="119" t="str">
        <f>VLOOKUP(AG82,AG6:AR99,$AE$1+1,FALSE)</f>
        <v>Osa hřídele nad překladem</v>
      </c>
      <c r="D59" s="120"/>
      <c r="E59" s="120"/>
      <c r="F59" s="121"/>
      <c r="G59" s="118" t="s">
        <v>331</v>
      </c>
      <c r="H59" s="120" t="str">
        <f>VLOOKUP(AG77,AG6:AR99,$AE$1+1,FALSE)</f>
        <v>Motor nebo řetěz. př.</v>
      </c>
      <c r="I59" s="120"/>
      <c r="J59" s="17"/>
      <c r="K59" s="120"/>
      <c r="L59" s="121" t="str">
        <f>IF(K11=AG127,"min.400","min. 375")</f>
        <v>min. 375</v>
      </c>
      <c r="M59" s="36" t="s">
        <v>354</v>
      </c>
      <c r="N59" s="134"/>
      <c r="O59" s="135"/>
      <c r="P59" s="136">
        <f>IF(K9=AG118,255+55,255)</f>
        <v>255</v>
      </c>
      <c r="R59" s="8" t="str">
        <f>VLOOKUP(AG31,AG2:AR96,$AE$1+1,FALSE)</f>
        <v>Zásuvka CEE 16 A, 5P, 400 V = zásuvka s nulovým a zemnícím vodičem</v>
      </c>
      <c r="S59" s="8"/>
      <c r="T59" s="8"/>
      <c r="U59" s="8"/>
      <c r="V59" s="8"/>
      <c r="W59" s="8"/>
      <c r="X59" s="8"/>
      <c r="AA59" s="8"/>
      <c r="AB59" s="7"/>
    </row>
    <row r="60" spans="1:42" ht="15.75" thickBot="1" x14ac:dyDescent="0.3">
      <c r="A60" s="7"/>
      <c r="B60" s="118" t="s">
        <v>355</v>
      </c>
      <c r="C60" s="119" t="str">
        <f>VLOOKUP(AG67,AG7:AR100,$AE$1+1,FALSE)</f>
        <v>Volný prostor vlevo</v>
      </c>
      <c r="F60" s="121"/>
      <c r="G60" s="118"/>
      <c r="H60" s="120"/>
      <c r="I60" s="120"/>
      <c r="J60" s="120"/>
      <c r="K60" s="126"/>
      <c r="L60" s="121"/>
      <c r="P60" s="137"/>
      <c r="W60" s="138"/>
      <c r="X60" s="138"/>
      <c r="Y60" s="138"/>
      <c r="Z60" s="138"/>
      <c r="AA60" s="138"/>
      <c r="AB60" s="139"/>
      <c r="AG60" t="str">
        <f t="shared" ref="AG60:AG82" si="2">VLOOKUP(AH60,AH60:AR154,$AE$1,FALSE)</f>
        <v>Rozměry jsou v mm</v>
      </c>
      <c r="AH60" t="s">
        <v>356</v>
      </c>
      <c r="AI60" t="s">
        <v>357</v>
      </c>
      <c r="AJ60" t="s">
        <v>358</v>
      </c>
      <c r="AK60" t="s">
        <v>359</v>
      </c>
      <c r="AL60" t="s">
        <v>360</v>
      </c>
      <c r="AM60" t="s">
        <v>361</v>
      </c>
      <c r="AN60" t="s">
        <v>362</v>
      </c>
      <c r="AO60" t="s">
        <v>363</v>
      </c>
      <c r="AP60" t="s">
        <v>364</v>
      </c>
    </row>
    <row r="61" spans="1:42" ht="15.75" thickBot="1" x14ac:dyDescent="0.3">
      <c r="B61" s="118" t="s">
        <v>365</v>
      </c>
      <c r="C61" s="119" t="str">
        <f>VLOOKUP(AG68,AG8:AR101,$AE$1+1,FALSE)</f>
        <v>Volný prostor vravo</v>
      </c>
      <c r="D61" s="120"/>
      <c r="E61" s="120"/>
      <c r="F61" s="121"/>
      <c r="G61" s="115" t="str">
        <f>IF(P62&lt;3000,VLOOKUP(AG79,AG6:AR99,$AE$1+1,FALSE),"")</f>
        <v>Kotvící bod, když je</v>
      </c>
      <c r="H61" s="115"/>
      <c r="I61" s="115" t="str">
        <f>IF(P62&lt;3000,"D&lt;3000","")</f>
        <v>D&lt;3000</v>
      </c>
      <c r="J61" s="115"/>
      <c r="K61" s="115"/>
      <c r="L61" s="117"/>
      <c r="M61" s="140" t="str">
        <f>AG69</f>
        <v>Hloubka vedení</v>
      </c>
      <c r="N61" s="141"/>
      <c r="O61" s="141"/>
      <c r="P61" s="142"/>
      <c r="Q61" s="8"/>
      <c r="R61" s="143" t="str">
        <f>VLOOKUP(AG85,AG2:AR96,$AE$1+1,FALSE)</f>
        <v>Sestavil:</v>
      </c>
      <c r="S61" s="144"/>
      <c r="T61" s="143" t="str">
        <f>VLOOKUP(AG86,AG2:AR96,$AE$1+1,FALSE)</f>
        <v>Upravil:</v>
      </c>
      <c r="U61" s="144"/>
      <c r="V61" s="143" t="str">
        <f>VLOOKUP(AG87,AG2:AR96,$AE$1+1,FALSE)</f>
        <v>Schváleno - datum:</v>
      </c>
      <c r="W61" s="144"/>
      <c r="X61" s="143" t="str">
        <f>VLOOKUP(AG88,AG2:AR96,$AE$1+1,FALSE)</f>
        <v>Název souboru:</v>
      </c>
      <c r="Y61" s="144"/>
      <c r="Z61" s="145" t="str">
        <f>VLOOKUP(AG89,AG2:AR96,$AE$1+1,FALSE)</f>
        <v>Datum:</v>
      </c>
      <c r="AA61" s="146" t="str">
        <f>VLOOKUP(AG90,AG2:AR96,$AE$1+1,FALSE)</f>
        <v>Měřítko</v>
      </c>
      <c r="AB61" s="36" t="str">
        <f>VLOOKUP(AG91,AG2:AR96,$AE$1+1,FALSE)</f>
        <v xml:space="preserve">Formát: </v>
      </c>
      <c r="AG61" t="str">
        <f t="shared" si="2"/>
        <v>Šířka otvoru</v>
      </c>
      <c r="AH61" t="s">
        <v>25</v>
      </c>
      <c r="AI61" t="s">
        <v>26</v>
      </c>
      <c r="AJ61" t="s">
        <v>27</v>
      </c>
      <c r="AK61" t="s">
        <v>28</v>
      </c>
      <c r="AL61" t="s">
        <v>29</v>
      </c>
      <c r="AM61" t="s">
        <v>30</v>
      </c>
      <c r="AN61" t="s">
        <v>31</v>
      </c>
      <c r="AO61" t="s">
        <v>32</v>
      </c>
      <c r="AP61" t="s">
        <v>366</v>
      </c>
    </row>
    <row r="62" spans="1:42" ht="15.75" thickBot="1" x14ac:dyDescent="0.3">
      <c r="B62" s="118" t="s">
        <v>367</v>
      </c>
      <c r="C62" s="119" t="str">
        <f>VLOOKUP(AG69,AG9:AR102,$AE$1+1,FALSE)</f>
        <v>Hloubka vedení</v>
      </c>
      <c r="D62" s="120"/>
      <c r="E62" s="120"/>
      <c r="F62" s="121"/>
      <c r="G62" s="118" t="str">
        <f>IF(P62&lt;3000,"X","")</f>
        <v>X</v>
      </c>
      <c r="H62" s="113" t="str">
        <f>IF(P62&lt;3000,VLOOKUP(AG80,AG6:AR99,$AE$1+1,FALSE),"")</f>
        <v>Kotvící bod</v>
      </c>
      <c r="I62" s="113"/>
      <c r="J62" s="113"/>
      <c r="K62" s="147" t="str">
        <f>IF(P62&lt;3000,"H","")</f>
        <v>H</v>
      </c>
      <c r="L62" s="137" t="str">
        <f>IF(P62&lt;3000,IF(OR(K3="",K5="",P56=""),"",K5),"")</f>
        <v/>
      </c>
      <c r="M62" s="148" t="s">
        <v>368</v>
      </c>
      <c r="N62" s="149"/>
      <c r="O62" s="150" t="s">
        <v>369</v>
      </c>
      <c r="P62" s="151">
        <f>K5+850</f>
        <v>850</v>
      </c>
      <c r="Q62" s="8"/>
      <c r="R62" s="143" t="s">
        <v>370</v>
      </c>
      <c r="S62" s="144"/>
      <c r="T62" s="143" t="s">
        <v>371</v>
      </c>
      <c r="U62" s="144"/>
      <c r="V62" s="152">
        <v>43732</v>
      </c>
      <c r="W62" s="144"/>
      <c r="X62" s="143" t="s">
        <v>372</v>
      </c>
      <c r="Y62" s="144"/>
      <c r="Z62" s="153">
        <v>43732</v>
      </c>
      <c r="AA62" s="154" t="s">
        <v>373</v>
      </c>
      <c r="AB62" s="155" t="s">
        <v>374</v>
      </c>
      <c r="AG62" t="str">
        <f t="shared" si="2"/>
        <v>Výška otvoru</v>
      </c>
      <c r="AH62" t="s">
        <v>34</v>
      </c>
      <c r="AI62" t="s">
        <v>35</v>
      </c>
      <c r="AJ62" t="s">
        <v>36</v>
      </c>
      <c r="AK62" t="s">
        <v>37</v>
      </c>
      <c r="AL62" t="s">
        <v>38</v>
      </c>
      <c r="AM62" t="s">
        <v>39</v>
      </c>
      <c r="AN62" t="s">
        <v>40</v>
      </c>
      <c r="AO62" t="s">
        <v>41</v>
      </c>
      <c r="AP62" t="s">
        <v>375</v>
      </c>
    </row>
    <row r="63" spans="1:42" ht="15.75" customHeight="1" thickBot="1" x14ac:dyDescent="0.3">
      <c r="A63" s="7"/>
      <c r="B63" s="39" t="s">
        <v>376</v>
      </c>
      <c r="C63" s="119" t="str">
        <f>VLOOKUP(AG70,AG13:AR104,$AE$1+1,FALSE)</f>
        <v>Kotvící bod č. 1</v>
      </c>
      <c r="D63" s="120"/>
      <c r="E63" s="120"/>
      <c r="F63" s="121"/>
      <c r="G63" s="16" t="str">
        <f>IF(AND(P62&gt;=3000,P62&lt;4500),VLOOKUP(AG79,AG6:AR99,$AE$1+1,FALSE),"")</f>
        <v/>
      </c>
      <c r="H63" s="16"/>
      <c r="I63" s="115" t="str">
        <f>IF(AND(P62&gt;=3000,P62&lt;4500),"3000=&lt;D&lt;4500","")</f>
        <v/>
      </c>
      <c r="J63" s="16"/>
      <c r="K63" s="16"/>
      <c r="L63" s="16"/>
      <c r="M63" s="156"/>
      <c r="P63" s="121"/>
      <c r="Q63" s="8"/>
      <c r="R63" s="157" t="s">
        <v>377</v>
      </c>
      <c r="S63" s="158"/>
      <c r="T63" s="158"/>
      <c r="U63" s="159"/>
      <c r="V63" s="160" t="str">
        <f>VLOOKUP(AG92,AG2:AR96,$AE$1+1,FALSE)</f>
        <v xml:space="preserve">STAVEBNÍ PŘIPRAVENOST  </v>
      </c>
      <c r="W63" s="161"/>
      <c r="X63" s="161"/>
      <c r="Y63" s="161"/>
      <c r="Z63" s="161"/>
      <c r="AA63" s="161"/>
      <c r="AB63" s="162"/>
      <c r="AG63" t="str">
        <f t="shared" si="2"/>
        <v>High lift</v>
      </c>
      <c r="AH63" t="s">
        <v>378</v>
      </c>
      <c r="AI63" t="s">
        <v>378</v>
      </c>
      <c r="AJ63" t="s">
        <v>379</v>
      </c>
      <c r="AK63" t="s">
        <v>380</v>
      </c>
      <c r="AL63" t="s">
        <v>381</v>
      </c>
      <c r="AM63" t="s">
        <v>378</v>
      </c>
      <c r="AN63" t="s">
        <v>382</v>
      </c>
      <c r="AO63" t="s">
        <v>383</v>
      </c>
      <c r="AP63" t="s">
        <v>384</v>
      </c>
    </row>
    <row r="64" spans="1:42" ht="15.75" customHeight="1" thickBot="1" x14ac:dyDescent="0.3">
      <c r="A64" s="7"/>
      <c r="B64" s="39" t="s">
        <v>385</v>
      </c>
      <c r="C64" s="119" t="str">
        <f>VLOOKUP(AG71,AG14:AR105,$AE$1+1,FALSE)</f>
        <v>Kotvící bod č. 2</v>
      </c>
      <c r="D64" s="120"/>
      <c r="E64" s="120"/>
      <c r="F64" s="121"/>
      <c r="G64" s="118" t="str">
        <f>IF(AND(P62&gt;=3000,P62&lt;4500),"X","")</f>
        <v/>
      </c>
      <c r="H64" s="120" t="str">
        <f>IF(AND(P62&gt;=3000,P62&lt;4500),VLOOKUP(AG70,AG6:AR99,$AE$1+1,FALSE),"")</f>
        <v/>
      </c>
      <c r="J64" s="120"/>
      <c r="K64" s="126" t="str">
        <f>IF(AND(P62&gt;=3000,P62&lt;4500),"H","")</f>
        <v/>
      </c>
      <c r="L64" s="121" t="str">
        <f>IF(AND(P62&gt;=3000,P62&lt;4500),IF(OR(K3="",K5="",P56=""),"",K5),"")</f>
        <v/>
      </c>
      <c r="M64" s="163"/>
      <c r="N64" s="164"/>
      <c r="O64" s="164"/>
      <c r="P64" s="121"/>
      <c r="Q64" s="8"/>
      <c r="R64" s="165"/>
      <c r="S64" s="166"/>
      <c r="T64" s="166"/>
      <c r="U64" s="167"/>
      <c r="V64" s="168"/>
      <c r="W64" s="169"/>
      <c r="X64" s="169"/>
      <c r="Y64" s="169"/>
      <c r="Z64" s="169"/>
      <c r="AA64" s="169"/>
      <c r="AB64" s="170"/>
      <c r="AG64" t="str">
        <f t="shared" si="2"/>
        <v>Výška stropu</v>
      </c>
      <c r="AH64" t="s">
        <v>386</v>
      </c>
      <c r="AI64" t="s">
        <v>387</v>
      </c>
      <c r="AJ64" t="s">
        <v>388</v>
      </c>
      <c r="AK64" t="s">
        <v>389</v>
      </c>
      <c r="AL64" t="s">
        <v>390</v>
      </c>
      <c r="AM64" t="s">
        <v>391</v>
      </c>
      <c r="AN64" t="s">
        <v>392</v>
      </c>
      <c r="AO64" t="s">
        <v>393</v>
      </c>
      <c r="AP64" t="s">
        <v>394</v>
      </c>
    </row>
    <row r="65" spans="1:84" ht="15.75" customHeight="1" thickBot="1" x14ac:dyDescent="0.3">
      <c r="A65" s="7"/>
      <c r="B65" s="39" t="s">
        <v>395</v>
      </c>
      <c r="C65" s="119" t="str">
        <f>VLOOKUP(AG72,AG15:AR106,$AE$1+1,FALSE)</f>
        <v>Kotvící bod č. 3</v>
      </c>
      <c r="D65" s="120"/>
      <c r="E65" s="120"/>
      <c r="F65" s="121"/>
      <c r="G65" s="39" t="s">
        <v>396</v>
      </c>
      <c r="H65" s="120" t="str">
        <f>IF(AND(P62&gt;=3000,P62&lt;4500),VLOOKUP(AG71,AG6:AR99,$AE$1+1,FALSE),"")</f>
        <v/>
      </c>
      <c r="I65" s="120"/>
      <c r="J65" s="120"/>
      <c r="K65" s="126" t="str">
        <f>IF(AND(P62&gt;=3000,P62&lt;4500),"1/2 X","")</f>
        <v/>
      </c>
      <c r="L65" s="121" t="str">
        <f>IF(AND(P62&gt;=3000,P62&lt;4500),IF(OR(K3="",K5="",P56=""),"",L64/2),"")</f>
        <v/>
      </c>
      <c r="M65" s="171"/>
      <c r="N65" s="172"/>
      <c r="O65" s="172"/>
      <c r="P65" s="173"/>
      <c r="Q65" s="8"/>
      <c r="R65" s="44"/>
      <c r="S65" s="8"/>
      <c r="T65" s="8"/>
      <c r="U65" s="8"/>
      <c r="V65" s="168" t="str">
        <f>AG12</f>
        <v>STANDARDNÍ VEDENÍ (SL) 350</v>
      </c>
      <c r="W65" s="169"/>
      <c r="X65" s="169"/>
      <c r="Y65" s="169"/>
      <c r="Z65" s="169"/>
      <c r="AA65" s="169"/>
      <c r="AB65" s="170"/>
      <c r="AG65" t="str">
        <f t="shared" si="2"/>
        <v>Volný prostor nad překladem</v>
      </c>
      <c r="AH65" t="s">
        <v>397</v>
      </c>
      <c r="AI65" t="s">
        <v>398</v>
      </c>
      <c r="AJ65" t="s">
        <v>399</v>
      </c>
      <c r="AK65" t="s">
        <v>400</v>
      </c>
      <c r="AL65" t="s">
        <v>401</v>
      </c>
      <c r="AM65" t="s">
        <v>402</v>
      </c>
      <c r="AN65" t="s">
        <v>403</v>
      </c>
      <c r="AO65" t="s">
        <v>404</v>
      </c>
      <c r="AP65" t="s">
        <v>405</v>
      </c>
    </row>
    <row r="66" spans="1:84" ht="15.75" customHeight="1" thickBot="1" x14ac:dyDescent="0.3">
      <c r="A66" s="7"/>
      <c r="B66" s="114"/>
      <c r="C66" s="113"/>
      <c r="D66" s="120"/>
      <c r="E66" s="120"/>
      <c r="F66" s="121"/>
      <c r="G66" s="174" t="str">
        <f>IF(P62&gt;=4500,VLOOKUP(AG79,AG11:AR104,$AE$1+1,FALSE),"")</f>
        <v/>
      </c>
      <c r="H66" s="115"/>
      <c r="I66" s="115" t="str">
        <f>IF(P62&gt;=4500,D&gt;=4500,"")</f>
        <v/>
      </c>
      <c r="J66" s="115"/>
      <c r="K66" s="115"/>
      <c r="L66" s="117"/>
      <c r="M66" s="175"/>
      <c r="N66" s="120"/>
      <c r="O66" s="120"/>
      <c r="P66" s="121"/>
      <c r="Q66" s="8"/>
      <c r="R66" s="44"/>
      <c r="S66" s="8"/>
      <c r="T66" s="8"/>
      <c r="U66" s="8"/>
      <c r="V66" s="168"/>
      <c r="W66" s="169"/>
      <c r="X66" s="169"/>
      <c r="Y66" s="169"/>
      <c r="Z66" s="169"/>
      <c r="AA66" s="169"/>
      <c r="AB66" s="170"/>
      <c r="AG66" t="str">
        <f t="shared" si="2"/>
        <v>Výška montážní plochy nad otvorem</v>
      </c>
      <c r="AH66" t="s">
        <v>406</v>
      </c>
      <c r="AI66" t="s">
        <v>407</v>
      </c>
      <c r="AJ66" t="s">
        <v>408</v>
      </c>
      <c r="AK66" t="s">
        <v>409</v>
      </c>
      <c r="AL66" t="s">
        <v>410</v>
      </c>
      <c r="AM66" t="s">
        <v>411</v>
      </c>
      <c r="AN66" t="s">
        <v>412</v>
      </c>
      <c r="AO66" t="s">
        <v>413</v>
      </c>
      <c r="AP66" t="s">
        <v>414</v>
      </c>
    </row>
    <row r="67" spans="1:84" ht="15.75" customHeight="1" thickBot="1" x14ac:dyDescent="0.3">
      <c r="A67" s="7"/>
      <c r="B67" s="176"/>
      <c r="C67" s="113"/>
      <c r="D67" s="113"/>
      <c r="E67" s="113"/>
      <c r="F67" s="7"/>
      <c r="G67" s="146" t="str">
        <f>IF(P62&gt;=4500,"X","")</f>
        <v/>
      </c>
      <c r="H67" s="120" t="str">
        <f>IF(P62&gt;=4500,VLOOKUP(AG70,AG9:AR102,$AE$1+1,FALSE),"")</f>
        <v/>
      </c>
      <c r="I67" s="1"/>
      <c r="J67" s="1"/>
      <c r="K67" s="177" t="str">
        <f>IF(P62&gt;=4500,"H","")</f>
        <v/>
      </c>
      <c r="L67" s="7" t="str">
        <f>IF(P62&gt;=4500,K5,"")</f>
        <v/>
      </c>
      <c r="M67" s="175"/>
      <c r="N67" s="113"/>
      <c r="O67" s="113"/>
      <c r="P67" s="114"/>
      <c r="Q67" s="8"/>
      <c r="R67" s="44"/>
      <c r="S67" s="8"/>
      <c r="T67" s="8"/>
      <c r="U67" s="8"/>
      <c r="V67" s="178"/>
      <c r="W67" s="179"/>
      <c r="X67" s="179"/>
      <c r="Y67" s="179"/>
      <c r="Z67" s="179"/>
      <c r="AA67" s="179"/>
      <c r="AB67" s="180"/>
      <c r="AG67" t="str">
        <f t="shared" si="2"/>
        <v>Volný prostor vlevo</v>
      </c>
      <c r="AH67" t="s">
        <v>415</v>
      </c>
      <c r="AI67" t="s">
        <v>416</v>
      </c>
      <c r="AJ67" t="s">
        <v>417</v>
      </c>
      <c r="AK67" t="s">
        <v>418</v>
      </c>
      <c r="AL67" t="s">
        <v>419</v>
      </c>
      <c r="AM67" t="s">
        <v>420</v>
      </c>
      <c r="AN67" t="s">
        <v>421</v>
      </c>
      <c r="AO67" t="s">
        <v>422</v>
      </c>
      <c r="AP67" t="s">
        <v>423</v>
      </c>
    </row>
    <row r="68" spans="1:84" ht="15.75" thickBot="1" x14ac:dyDescent="0.3">
      <c r="A68" s="7"/>
      <c r="B68" s="181"/>
      <c r="D68" s="119"/>
      <c r="E68" s="119"/>
      <c r="F68" s="121"/>
      <c r="G68" s="118" t="str">
        <f>IF(P62&gt;=4500,"Y","")</f>
        <v/>
      </c>
      <c r="H68" s="120" t="str">
        <f>IF(P62&gt;=4500,VLOOKUP(AG71,AG10:AR103,$AE$1+1,FALSE),"")</f>
        <v/>
      </c>
      <c r="I68" s="120"/>
      <c r="J68" s="120"/>
      <c r="K68" s="126" t="str">
        <f>IF(P62&gt;=4500,"(X/3)*2","")</f>
        <v/>
      </c>
      <c r="L68" s="182" t="str">
        <f>IF(P62&gt;=4500,(L67/3)*2,"")</f>
        <v/>
      </c>
      <c r="M68" s="175"/>
      <c r="N68" s="120"/>
      <c r="O68" s="120"/>
      <c r="P68" s="121"/>
      <c r="Q68" s="8"/>
      <c r="R68" s="44"/>
      <c r="S68" s="8"/>
      <c r="T68" s="8"/>
      <c r="U68" s="8"/>
      <c r="V68" s="183" t="str">
        <f>AG12</f>
        <v>STANDARDNÍ VEDENÍ (SL) 350</v>
      </c>
      <c r="W68" s="184"/>
      <c r="X68" s="184"/>
      <c r="Y68" s="185"/>
      <c r="Z68" s="146" t="str">
        <f>VLOOKUP(AG95,AG2:AR96,$AE$1+1,FALSE)</f>
        <v>Kód:</v>
      </c>
      <c r="AA68" s="143" t="str">
        <f>VLOOKUP(AG96,AG2:AR96,$AE$1+1,FALSE)</f>
        <v>Verze:</v>
      </c>
      <c r="AB68" s="144"/>
      <c r="AG68" t="str">
        <f t="shared" si="2"/>
        <v>Volný prostor vravo</v>
      </c>
      <c r="AH68" t="s">
        <v>424</v>
      </c>
      <c r="AI68" t="s">
        <v>425</v>
      </c>
      <c r="AJ68" t="s">
        <v>426</v>
      </c>
      <c r="AK68" t="s">
        <v>427</v>
      </c>
      <c r="AL68" t="s">
        <v>428</v>
      </c>
      <c r="AM68" t="s">
        <v>429</v>
      </c>
      <c r="AN68" t="s">
        <v>430</v>
      </c>
      <c r="AO68" t="s">
        <v>431</v>
      </c>
      <c r="AP68" t="s">
        <v>432</v>
      </c>
    </row>
    <row r="69" spans="1:84" ht="15.75" thickBot="1" x14ac:dyDescent="0.3">
      <c r="B69" s="186"/>
      <c r="C69" s="120"/>
      <c r="D69" s="120"/>
      <c r="E69" s="120"/>
      <c r="F69" s="121"/>
      <c r="G69" s="118" t="str">
        <f>IF(P62&gt;=4500,"Y2","")</f>
        <v/>
      </c>
      <c r="H69" s="120" t="str">
        <f>IF(P62&gt;=4500,VLOOKUP(AG72,AG11:AR104,$AE$1+1,FALSE),"")</f>
        <v/>
      </c>
      <c r="I69" s="120"/>
      <c r="J69" s="120"/>
      <c r="K69" s="187" t="str">
        <f>IF(P62&gt;=4500,"X/3","")</f>
        <v/>
      </c>
      <c r="L69" s="188" t="str">
        <f>IF(P62&gt;=4500,L67/3,"")</f>
        <v/>
      </c>
      <c r="M69" s="175"/>
      <c r="N69" s="119"/>
      <c r="O69" s="119"/>
      <c r="P69" s="189"/>
      <c r="Q69" s="1"/>
      <c r="R69" s="190"/>
      <c r="S69" s="1"/>
      <c r="T69" s="1"/>
      <c r="U69" s="1"/>
      <c r="V69" s="191"/>
      <c r="W69" s="192"/>
      <c r="X69" s="192"/>
      <c r="Y69" s="193"/>
      <c r="Z69" s="194" t="s">
        <v>433</v>
      </c>
      <c r="AA69" s="195">
        <v>1939</v>
      </c>
      <c r="AB69" s="196"/>
      <c r="AG69" t="str">
        <f t="shared" si="2"/>
        <v>Hloubka vedení</v>
      </c>
      <c r="AH69" t="s">
        <v>434</v>
      </c>
      <c r="AI69" t="s">
        <v>435</v>
      </c>
      <c r="AJ69" t="s">
        <v>436</v>
      </c>
      <c r="AK69" t="s">
        <v>437</v>
      </c>
      <c r="AL69" t="s">
        <v>438</v>
      </c>
      <c r="AM69" t="s">
        <v>439</v>
      </c>
      <c r="AN69" t="s">
        <v>440</v>
      </c>
      <c r="AO69" t="s">
        <v>441</v>
      </c>
      <c r="AP69" t="s">
        <v>442</v>
      </c>
    </row>
    <row r="70" spans="1:84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37"/>
      <c r="W70" s="37"/>
      <c r="X70" s="37"/>
      <c r="Y70" s="37"/>
      <c r="Z70" s="8"/>
      <c r="AA70" s="8"/>
      <c r="AB70" s="8"/>
      <c r="AG70" t="str">
        <f t="shared" si="2"/>
        <v>Kotvící bod č. 1</v>
      </c>
      <c r="AH70" t="s">
        <v>443</v>
      </c>
      <c r="AI70" t="s">
        <v>444</v>
      </c>
      <c r="AJ70" t="s">
        <v>445</v>
      </c>
      <c r="AK70" t="s">
        <v>446</v>
      </c>
      <c r="AL70" t="s">
        <v>447</v>
      </c>
      <c r="AM70" t="s">
        <v>448</v>
      </c>
      <c r="AN70" t="s">
        <v>449</v>
      </c>
      <c r="AO70" t="s">
        <v>450</v>
      </c>
      <c r="AP70" t="s">
        <v>451</v>
      </c>
    </row>
    <row r="71" spans="1:84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37"/>
      <c r="W71" s="37"/>
      <c r="X71" s="37"/>
      <c r="Y71" s="37"/>
      <c r="Z71" s="8"/>
      <c r="AA71" s="8"/>
      <c r="AB71" s="8"/>
      <c r="AG71" t="str">
        <f t="shared" si="2"/>
        <v>Kotvící bod č. 2</v>
      </c>
      <c r="AH71" t="s">
        <v>452</v>
      </c>
      <c r="AI71" t="s">
        <v>453</v>
      </c>
      <c r="AJ71" t="s">
        <v>454</v>
      </c>
      <c r="AK71" t="s">
        <v>455</v>
      </c>
      <c r="AL71" t="s">
        <v>456</v>
      </c>
      <c r="AM71" t="s">
        <v>457</v>
      </c>
      <c r="AN71" t="s">
        <v>458</v>
      </c>
      <c r="AO71" t="s">
        <v>459</v>
      </c>
      <c r="AP71" t="s">
        <v>460</v>
      </c>
    </row>
    <row r="72" spans="1:84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37"/>
      <c r="W72" s="37"/>
      <c r="X72" s="37"/>
      <c r="Y72" s="37"/>
      <c r="Z72" s="8"/>
      <c r="AA72" s="8"/>
      <c r="AB72" s="8"/>
      <c r="AG72" t="str">
        <f t="shared" si="2"/>
        <v>Kotvící bod č. 3</v>
      </c>
      <c r="AH72" t="s">
        <v>461</v>
      </c>
      <c r="AI72" t="s">
        <v>462</v>
      </c>
      <c r="AJ72" t="s">
        <v>463</v>
      </c>
      <c r="AK72" t="s">
        <v>464</v>
      </c>
      <c r="AL72" t="s">
        <v>465</v>
      </c>
      <c r="AM72" t="s">
        <v>466</v>
      </c>
      <c r="AN72" t="s">
        <v>467</v>
      </c>
      <c r="AO72" t="s">
        <v>468</v>
      </c>
      <c r="AP72" t="s">
        <v>469</v>
      </c>
    </row>
    <row r="73" spans="1:84" x14ac:dyDescent="0.25">
      <c r="F73" s="8"/>
      <c r="G73" s="28"/>
      <c r="H73" s="28"/>
      <c r="I73" s="28"/>
      <c r="J73" s="28"/>
      <c r="K73" s="28"/>
      <c r="L73" s="28"/>
      <c r="M73" s="8"/>
      <c r="N73" s="8"/>
      <c r="AG73" t="str">
        <f t="shared" si="2"/>
        <v>Volný prostor nad překladem</v>
      </c>
      <c r="AH73" s="38" t="s">
        <v>397</v>
      </c>
      <c r="AI73" s="38" t="s">
        <v>470</v>
      </c>
      <c r="AJ73" s="38" t="s">
        <v>471</v>
      </c>
      <c r="AK73" s="38" t="s">
        <v>472</v>
      </c>
      <c r="AL73" s="38" t="s">
        <v>473</v>
      </c>
      <c r="AM73" s="38" t="s">
        <v>474</v>
      </c>
      <c r="AN73" s="38" t="s">
        <v>475</v>
      </c>
      <c r="AO73" s="38" t="s">
        <v>476</v>
      </c>
      <c r="AP73" s="38" t="s">
        <v>477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</row>
    <row r="74" spans="1:84" x14ac:dyDescent="0.25">
      <c r="F74" s="8"/>
      <c r="G74" s="31"/>
      <c r="H74" s="28"/>
      <c r="I74" s="28"/>
      <c r="J74" s="28"/>
      <c r="K74" s="28"/>
      <c r="L74" s="28"/>
      <c r="M74" s="8"/>
      <c r="N74" s="8"/>
      <c r="AG74" t="str">
        <f t="shared" si="2"/>
        <v>Ruční ovládání</v>
      </c>
      <c r="AH74" t="s">
        <v>478</v>
      </c>
      <c r="AI74" t="s">
        <v>479</v>
      </c>
      <c r="AJ74" t="s">
        <v>480</v>
      </c>
      <c r="AK74" t="s">
        <v>481</v>
      </c>
      <c r="AL74" t="s">
        <v>482</v>
      </c>
      <c r="AM74" t="s">
        <v>483</v>
      </c>
      <c r="AN74" t="s">
        <v>484</v>
      </c>
      <c r="AO74" t="s">
        <v>485</v>
      </c>
      <c r="AP74" t="s">
        <v>486</v>
      </c>
    </row>
    <row r="75" spans="1:84" x14ac:dyDescent="0.25">
      <c r="F75" s="8"/>
      <c r="G75" s="8"/>
      <c r="H75" s="8"/>
      <c r="I75" s="8"/>
      <c r="J75" s="8"/>
      <c r="K75" s="8"/>
      <c r="L75" s="8"/>
      <c r="M75" s="8"/>
      <c r="N75" s="8"/>
      <c r="AG75" t="str">
        <f t="shared" si="2"/>
        <v>Obě strany</v>
      </c>
      <c r="AH75" t="s">
        <v>487</v>
      </c>
      <c r="AI75" t="s">
        <v>488</v>
      </c>
      <c r="AJ75" t="s">
        <v>489</v>
      </c>
      <c r="AK75" t="s">
        <v>490</v>
      </c>
      <c r="AL75" t="s">
        <v>491</v>
      </c>
      <c r="AM75" t="s">
        <v>492</v>
      </c>
      <c r="AN75" t="s">
        <v>493</v>
      </c>
      <c r="AO75" t="s">
        <v>494</v>
      </c>
      <c r="AP75" t="s">
        <v>495</v>
      </c>
    </row>
    <row r="76" spans="1:84" x14ac:dyDescent="0.25">
      <c r="L76" s="8"/>
      <c r="M76" s="8"/>
      <c r="N76" s="8"/>
      <c r="O76" s="8"/>
      <c r="P76" s="8"/>
      <c r="Q76" s="8"/>
      <c r="R76" s="8"/>
      <c r="S76" s="8"/>
      <c r="T76" s="8"/>
      <c r="AG76" t="str">
        <f t="shared" si="2"/>
        <v>Ovládání elektricky nebo řetězovým převodem</v>
      </c>
      <c r="AH76" t="s">
        <v>496</v>
      </c>
      <c r="AI76" t="s">
        <v>497</v>
      </c>
      <c r="AJ76" t="s">
        <v>498</v>
      </c>
      <c r="AK76" t="s">
        <v>499</v>
      </c>
      <c r="AL76" t="s">
        <v>500</v>
      </c>
      <c r="AM76" t="s">
        <v>501</v>
      </c>
      <c r="AN76" t="s">
        <v>502</v>
      </c>
      <c r="AO76" t="s">
        <v>503</v>
      </c>
      <c r="AP76" t="s">
        <v>504</v>
      </c>
    </row>
    <row r="77" spans="1:84" x14ac:dyDescent="0.25">
      <c r="L77" s="8"/>
      <c r="M77" s="8"/>
      <c r="N77" s="8"/>
      <c r="O77" s="8"/>
      <c r="P77" s="8"/>
      <c r="Q77" s="8"/>
      <c r="R77" s="8"/>
      <c r="S77" s="8"/>
      <c r="T77" s="8"/>
      <c r="AG77" t="str">
        <f t="shared" si="2"/>
        <v>Motor nebo řetěz. př.</v>
      </c>
      <c r="AH77" t="s">
        <v>505</v>
      </c>
      <c r="AI77" t="s">
        <v>506</v>
      </c>
      <c r="AJ77" t="s">
        <v>507</v>
      </c>
      <c r="AK77" t="s">
        <v>508</v>
      </c>
      <c r="AL77" t="s">
        <v>509</v>
      </c>
      <c r="AM77" t="s">
        <v>510</v>
      </c>
      <c r="AN77" t="s">
        <v>511</v>
      </c>
      <c r="AO77" t="s">
        <v>512</v>
      </c>
      <c r="AP77" t="s">
        <v>513</v>
      </c>
    </row>
    <row r="78" spans="1:84" x14ac:dyDescent="0.25">
      <c r="L78" s="8"/>
      <c r="M78" s="8"/>
      <c r="N78" s="8"/>
      <c r="O78" s="8"/>
      <c r="P78" s="8"/>
      <c r="Q78" s="8"/>
      <c r="R78" s="8"/>
      <c r="S78" s="8"/>
      <c r="T78" s="8"/>
      <c r="AG78" t="str">
        <f t="shared" si="2"/>
        <v>Hloubka vedení</v>
      </c>
      <c r="AH78" t="s">
        <v>434</v>
      </c>
      <c r="AI78" t="s">
        <v>435</v>
      </c>
      <c r="AJ78" t="s">
        <v>436</v>
      </c>
      <c r="AK78" t="s">
        <v>514</v>
      </c>
      <c r="AL78" t="s">
        <v>438</v>
      </c>
      <c r="AM78" t="s">
        <v>439</v>
      </c>
      <c r="AN78" t="s">
        <v>440</v>
      </c>
      <c r="AO78" t="s">
        <v>515</v>
      </c>
      <c r="AP78" t="s">
        <v>442</v>
      </c>
    </row>
    <row r="79" spans="1:84" x14ac:dyDescent="0.25">
      <c r="L79" s="8"/>
      <c r="M79" s="8"/>
      <c r="N79" s="8"/>
      <c r="O79" s="8"/>
      <c r="P79" s="8"/>
      <c r="Q79" s="8"/>
      <c r="R79" s="8"/>
      <c r="S79" s="8"/>
      <c r="T79" s="8"/>
      <c r="AG79" t="str">
        <f t="shared" si="2"/>
        <v>Kotvící bod, když je</v>
      </c>
      <c r="AH79" t="s">
        <v>516</v>
      </c>
      <c r="AI79" t="s">
        <v>517</v>
      </c>
      <c r="AJ79" t="s">
        <v>518</v>
      </c>
      <c r="AK79" t="s">
        <v>519</v>
      </c>
      <c r="AL79" t="s">
        <v>520</v>
      </c>
      <c r="AM79" t="s">
        <v>521</v>
      </c>
      <c r="AN79" t="s">
        <v>522</v>
      </c>
      <c r="AO79" t="s">
        <v>523</v>
      </c>
      <c r="AP79" t="s">
        <v>524</v>
      </c>
    </row>
    <row r="80" spans="1:84" x14ac:dyDescent="0.25">
      <c r="L80" s="8"/>
      <c r="M80" s="8"/>
      <c r="N80" s="8"/>
      <c r="O80" s="8"/>
      <c r="P80" s="8"/>
      <c r="Q80" s="8"/>
      <c r="R80" s="8"/>
      <c r="S80" s="8"/>
      <c r="T80" s="8"/>
      <c r="AG80" t="str">
        <f t="shared" si="2"/>
        <v>Kotvící bod</v>
      </c>
      <c r="AH80" t="s">
        <v>525</v>
      </c>
      <c r="AI80" t="s">
        <v>526</v>
      </c>
      <c r="AJ80" t="s">
        <v>527</v>
      </c>
      <c r="AK80" t="s">
        <v>528</v>
      </c>
      <c r="AL80" t="s">
        <v>529</v>
      </c>
      <c r="AM80" t="s">
        <v>530</v>
      </c>
      <c r="AN80" t="s">
        <v>531</v>
      </c>
      <c r="AO80" t="s">
        <v>532</v>
      </c>
      <c r="AP80" t="s">
        <v>533</v>
      </c>
    </row>
    <row r="81" spans="12:42" x14ac:dyDescent="0.25">
      <c r="L81" s="8"/>
      <c r="M81" s="8"/>
      <c r="N81" s="8"/>
      <c r="O81" s="8"/>
      <c r="P81" s="8"/>
      <c r="Q81" s="8"/>
      <c r="R81" s="8"/>
      <c r="S81" s="8"/>
      <c r="T81" s="8"/>
      <c r="AG81" t="str">
        <f t="shared" si="2"/>
        <v>Volný prostor nad překladem</v>
      </c>
      <c r="AH81" t="s">
        <v>397</v>
      </c>
      <c r="AI81" t="s">
        <v>398</v>
      </c>
      <c r="AJ81" t="s">
        <v>399</v>
      </c>
      <c r="AK81" t="s">
        <v>534</v>
      </c>
      <c r="AL81" t="s">
        <v>401</v>
      </c>
      <c r="AM81" t="s">
        <v>402</v>
      </c>
      <c r="AN81" t="s">
        <v>535</v>
      </c>
      <c r="AO81" t="s">
        <v>536</v>
      </c>
      <c r="AP81" t="s">
        <v>405</v>
      </c>
    </row>
    <row r="82" spans="12:42" x14ac:dyDescent="0.25">
      <c r="L82" s="8"/>
      <c r="M82" s="8"/>
      <c r="N82" s="8"/>
      <c r="O82" s="8"/>
      <c r="P82" s="197"/>
      <c r="Q82" s="197"/>
      <c r="R82" s="8"/>
      <c r="S82" s="8"/>
      <c r="T82" s="8"/>
      <c r="AG82" t="str">
        <f t="shared" si="2"/>
        <v>Osa hřídele nad překladem</v>
      </c>
      <c r="AH82" t="s">
        <v>537</v>
      </c>
      <c r="AI82" t="s">
        <v>538</v>
      </c>
      <c r="AJ82" t="s">
        <v>539</v>
      </c>
      <c r="AK82" t="s">
        <v>540</v>
      </c>
      <c r="AL82" t="s">
        <v>541</v>
      </c>
      <c r="AM82" t="s">
        <v>542</v>
      </c>
      <c r="AN82" t="s">
        <v>543</v>
      </c>
      <c r="AO82" t="s">
        <v>544</v>
      </c>
      <c r="AP82" t="s">
        <v>545</v>
      </c>
    </row>
    <row r="83" spans="12:42" x14ac:dyDescent="0.25">
      <c r="L83" s="8"/>
      <c r="M83" s="8"/>
      <c r="N83" s="8"/>
      <c r="O83" s="8"/>
      <c r="P83" s="8"/>
      <c r="Q83" s="8"/>
      <c r="R83" s="8"/>
      <c r="S83" s="8"/>
      <c r="T83" s="8"/>
    </row>
    <row r="85" spans="12:42" x14ac:dyDescent="0.25">
      <c r="AG85" t="str">
        <f t="shared" ref="AG85:AG97" si="3">VLOOKUP(AH85,AH85:AR179,$AE$1,FALSE)</f>
        <v>Sestavil:</v>
      </c>
      <c r="AH85" t="s">
        <v>546</v>
      </c>
      <c r="AI85" t="s">
        <v>547</v>
      </c>
      <c r="AJ85" t="s">
        <v>548</v>
      </c>
      <c r="AK85" t="s">
        <v>549</v>
      </c>
      <c r="AL85" t="s">
        <v>550</v>
      </c>
      <c r="AM85" t="s">
        <v>551</v>
      </c>
      <c r="AN85" t="s">
        <v>552</v>
      </c>
      <c r="AO85" t="s">
        <v>553</v>
      </c>
      <c r="AP85" t="s">
        <v>554</v>
      </c>
    </row>
    <row r="86" spans="12:42" x14ac:dyDescent="0.25">
      <c r="AG86" t="str">
        <f t="shared" si="3"/>
        <v>Upravil:</v>
      </c>
      <c r="AH86" t="s">
        <v>555</v>
      </c>
      <c r="AI86" t="s">
        <v>556</v>
      </c>
      <c r="AJ86" t="s">
        <v>557</v>
      </c>
      <c r="AK86" t="s">
        <v>558</v>
      </c>
      <c r="AL86" t="s">
        <v>559</v>
      </c>
      <c r="AM86" t="s">
        <v>560</v>
      </c>
      <c r="AN86" t="s">
        <v>561</v>
      </c>
      <c r="AO86" t="s">
        <v>562</v>
      </c>
      <c r="AP86" t="s">
        <v>563</v>
      </c>
    </row>
    <row r="87" spans="12:42" x14ac:dyDescent="0.25">
      <c r="AG87" t="str">
        <f t="shared" si="3"/>
        <v>Schváleno - datum:</v>
      </c>
      <c r="AH87" t="s">
        <v>564</v>
      </c>
      <c r="AI87" t="s">
        <v>565</v>
      </c>
      <c r="AJ87" t="s">
        <v>566</v>
      </c>
      <c r="AK87" t="s">
        <v>567</v>
      </c>
      <c r="AL87" t="s">
        <v>568</v>
      </c>
      <c r="AM87" t="s">
        <v>569</v>
      </c>
      <c r="AN87" t="s">
        <v>570</v>
      </c>
      <c r="AO87" t="s">
        <v>571</v>
      </c>
      <c r="AP87" t="s">
        <v>572</v>
      </c>
    </row>
    <row r="88" spans="12:42" x14ac:dyDescent="0.25">
      <c r="AG88" t="str">
        <f t="shared" si="3"/>
        <v>Název souboru:</v>
      </c>
      <c r="AH88" t="s">
        <v>573</v>
      </c>
      <c r="AI88" t="s">
        <v>574</v>
      </c>
      <c r="AJ88" t="s">
        <v>575</v>
      </c>
      <c r="AK88" t="s">
        <v>576</v>
      </c>
      <c r="AL88" t="s">
        <v>577</v>
      </c>
      <c r="AM88" t="s">
        <v>578</v>
      </c>
      <c r="AN88" t="s">
        <v>579</v>
      </c>
      <c r="AO88" t="s">
        <v>580</v>
      </c>
      <c r="AP88" t="s">
        <v>581</v>
      </c>
    </row>
    <row r="89" spans="12:42" x14ac:dyDescent="0.25">
      <c r="AG89" t="str">
        <f t="shared" si="3"/>
        <v>Datum:</v>
      </c>
      <c r="AH89" t="s">
        <v>582</v>
      </c>
      <c r="AI89" t="s">
        <v>583</v>
      </c>
      <c r="AJ89" t="s">
        <v>582</v>
      </c>
      <c r="AK89" t="s">
        <v>584</v>
      </c>
      <c r="AL89" t="s">
        <v>585</v>
      </c>
      <c r="AM89" t="s">
        <v>582</v>
      </c>
      <c r="AN89" t="s">
        <v>586</v>
      </c>
      <c r="AO89" t="s">
        <v>587</v>
      </c>
      <c r="AP89" t="s">
        <v>588</v>
      </c>
    </row>
    <row r="90" spans="12:42" x14ac:dyDescent="0.25">
      <c r="AG90" t="str">
        <f t="shared" si="3"/>
        <v>Měřítko</v>
      </c>
      <c r="AH90" t="s">
        <v>589</v>
      </c>
      <c r="AI90" t="s">
        <v>590</v>
      </c>
      <c r="AJ90" t="s">
        <v>591</v>
      </c>
      <c r="AK90" t="s">
        <v>592</v>
      </c>
      <c r="AL90" t="s">
        <v>593</v>
      </c>
      <c r="AM90" t="s">
        <v>594</v>
      </c>
      <c r="AN90" t="s">
        <v>595</v>
      </c>
      <c r="AO90" t="s">
        <v>596</v>
      </c>
      <c r="AP90" t="s">
        <v>597</v>
      </c>
    </row>
    <row r="91" spans="12:42" x14ac:dyDescent="0.25">
      <c r="AG91" t="str">
        <f t="shared" si="3"/>
        <v xml:space="preserve">Formát: </v>
      </c>
      <c r="AH91" t="s">
        <v>598</v>
      </c>
      <c r="AI91" t="s">
        <v>599</v>
      </c>
      <c r="AJ91" t="s">
        <v>600</v>
      </c>
      <c r="AK91" t="s">
        <v>600</v>
      </c>
      <c r="AL91" t="s">
        <v>601</v>
      </c>
      <c r="AM91" t="s">
        <v>599</v>
      </c>
      <c r="AN91" t="s">
        <v>602</v>
      </c>
      <c r="AO91" t="s">
        <v>603</v>
      </c>
      <c r="AP91" t="s">
        <v>604</v>
      </c>
    </row>
    <row r="92" spans="12:42" x14ac:dyDescent="0.25">
      <c r="AG92" t="str">
        <f t="shared" si="3"/>
        <v xml:space="preserve">STAVEBNÍ PŘIPRAVENOST  </v>
      </c>
      <c r="AH92" t="s">
        <v>605</v>
      </c>
      <c r="AI92" t="s">
        <v>606</v>
      </c>
      <c r="AJ92" t="s">
        <v>607</v>
      </c>
      <c r="AK92" t="s">
        <v>608</v>
      </c>
      <c r="AL92" t="s">
        <v>609</v>
      </c>
      <c r="AM92" t="s">
        <v>610</v>
      </c>
      <c r="AN92" t="s">
        <v>611</v>
      </c>
      <c r="AO92" t="s">
        <v>612</v>
      </c>
      <c r="AP92" t="s">
        <v>613</v>
      </c>
    </row>
    <row r="93" spans="12:42" x14ac:dyDescent="0.25">
      <c r="AG93" t="str">
        <f t="shared" si="3"/>
        <v xml:space="preserve">pružiny nad překladem </v>
      </c>
      <c r="AH93" t="s">
        <v>614</v>
      </c>
      <c r="AI93" t="s">
        <v>615</v>
      </c>
      <c r="AJ93" t="s">
        <v>616</v>
      </c>
      <c r="AK93" t="s">
        <v>617</v>
      </c>
      <c r="AL93" t="s">
        <v>95</v>
      </c>
      <c r="AM93" t="s">
        <v>618</v>
      </c>
      <c r="AN93" t="s">
        <v>619</v>
      </c>
      <c r="AO93" t="s">
        <v>98</v>
      </c>
      <c r="AP93" t="s">
        <v>99</v>
      </c>
    </row>
    <row r="94" spans="12:42" x14ac:dyDescent="0.25">
      <c r="AG94" t="str">
        <f t="shared" si="3"/>
        <v>VERTIKÁLNÍ SYSTÉM</v>
      </c>
      <c r="AH94" t="s">
        <v>620</v>
      </c>
      <c r="AI94" t="s">
        <v>621</v>
      </c>
      <c r="AJ94" t="s">
        <v>622</v>
      </c>
      <c r="AK94" t="s">
        <v>623</v>
      </c>
      <c r="AL94" t="s">
        <v>624</v>
      </c>
      <c r="AM94" t="s">
        <v>625</v>
      </c>
    </row>
    <row r="95" spans="12:42" x14ac:dyDescent="0.25">
      <c r="AG95" t="str">
        <f t="shared" si="3"/>
        <v>Kód:</v>
      </c>
      <c r="AH95" t="s">
        <v>626</v>
      </c>
      <c r="AI95" t="s">
        <v>627</v>
      </c>
      <c r="AJ95" t="s">
        <v>628</v>
      </c>
      <c r="AK95" t="s">
        <v>629</v>
      </c>
      <c r="AL95" t="s">
        <v>630</v>
      </c>
      <c r="AM95" t="s">
        <v>631</v>
      </c>
      <c r="AN95" t="s">
        <v>632</v>
      </c>
      <c r="AO95" t="s">
        <v>633</v>
      </c>
      <c r="AP95" t="s">
        <v>634</v>
      </c>
    </row>
    <row r="96" spans="12:42" x14ac:dyDescent="0.25">
      <c r="AG96" t="str">
        <f t="shared" si="3"/>
        <v>Verze:</v>
      </c>
      <c r="AH96" t="s">
        <v>635</v>
      </c>
      <c r="AI96" t="s">
        <v>636</v>
      </c>
      <c r="AJ96" t="s">
        <v>636</v>
      </c>
      <c r="AK96" t="s">
        <v>637</v>
      </c>
      <c r="AL96" t="s">
        <v>638</v>
      </c>
      <c r="AM96" t="s">
        <v>639</v>
      </c>
      <c r="AN96" t="s">
        <v>640</v>
      </c>
      <c r="AO96" t="s">
        <v>641</v>
      </c>
      <c r="AP96" t="s">
        <v>642</v>
      </c>
    </row>
    <row r="97" spans="33:42" x14ac:dyDescent="0.25">
      <c r="AG97" t="str">
        <f t="shared" si="3"/>
        <v>NENÍ POŽADOVÁNO</v>
      </c>
      <c r="AH97" t="s">
        <v>643</v>
      </c>
      <c r="AI97" t="s">
        <v>644</v>
      </c>
      <c r="AJ97" t="s">
        <v>645</v>
      </c>
      <c r="AK97" t="s">
        <v>646</v>
      </c>
      <c r="AL97" t="s">
        <v>647</v>
      </c>
      <c r="AM97" t="s">
        <v>648</v>
      </c>
      <c r="AN97" t="s">
        <v>649</v>
      </c>
      <c r="AO97" t="s">
        <v>650</v>
      </c>
      <c r="AP97" t="s">
        <v>651</v>
      </c>
    </row>
    <row r="99" spans="33:42" x14ac:dyDescent="0.25">
      <c r="AG99" t="str">
        <f>VLOOKUP(AH99,AH99:AR193,$AE$1,FALSE)</f>
        <v>Prosím, vyplňte pole, která jsou označena barevně!</v>
      </c>
      <c r="AH99" t="s">
        <v>652</v>
      </c>
      <c r="AI99" t="s">
        <v>653</v>
      </c>
      <c r="AJ99" t="s">
        <v>654</v>
      </c>
      <c r="AK99" t="s">
        <v>655</v>
      </c>
      <c r="AL99" t="s">
        <v>656</v>
      </c>
      <c r="AM99" t="s">
        <v>657</v>
      </c>
      <c r="AN99" t="s">
        <v>658</v>
      </c>
      <c r="AO99" t="s">
        <v>659</v>
      </c>
      <c r="AP99" t="s">
        <v>660</v>
      </c>
    </row>
    <row r="101" spans="33:42" x14ac:dyDescent="0.25">
      <c r="AG101" t="str">
        <f>VLOOKUP(AH101,AH101:AR195,$AE$1,FALSE)</f>
        <v>Ovládání</v>
      </c>
      <c r="AH101" t="s">
        <v>661</v>
      </c>
      <c r="AI101" t="s">
        <v>662</v>
      </c>
      <c r="AJ101" t="s">
        <v>663</v>
      </c>
      <c r="AK101" t="s">
        <v>664</v>
      </c>
      <c r="AL101" t="s">
        <v>665</v>
      </c>
      <c r="AM101" s="17" t="s">
        <v>666</v>
      </c>
      <c r="AN101" s="17" t="s">
        <v>667</v>
      </c>
      <c r="AO101" s="17" t="s">
        <v>668</v>
      </c>
      <c r="AP101" s="17" t="s">
        <v>669</v>
      </c>
    </row>
    <row r="102" spans="33:42" x14ac:dyDescent="0.25">
      <c r="AG102" t="str">
        <f>VLOOKUP(AH102,AH102:AR196,$AE$1,FALSE)</f>
        <v>ručně</v>
      </c>
      <c r="AH102" t="s">
        <v>670</v>
      </c>
      <c r="AI102" t="s">
        <v>671</v>
      </c>
      <c r="AJ102" t="s">
        <v>672</v>
      </c>
      <c r="AK102" t="s">
        <v>673</v>
      </c>
      <c r="AL102" t="s">
        <v>674</v>
      </c>
      <c r="AM102" s="17" t="s">
        <v>672</v>
      </c>
      <c r="AN102" s="17" t="s">
        <v>675</v>
      </c>
      <c r="AO102" s="17" t="s">
        <v>676</v>
      </c>
      <c r="AP102" s="198" t="s">
        <v>677</v>
      </c>
    </row>
    <row r="103" spans="33:42" ht="15" customHeight="1" x14ac:dyDescent="0.25">
      <c r="AG103" t="str">
        <f>VLOOKUP(AH103,AH103:AR197,$AE$1,FALSE)</f>
        <v>elektricky</v>
      </c>
      <c r="AH103" t="s">
        <v>678</v>
      </c>
      <c r="AI103" t="s">
        <v>679</v>
      </c>
      <c r="AJ103" t="s">
        <v>680</v>
      </c>
      <c r="AK103" t="s">
        <v>681</v>
      </c>
      <c r="AL103" t="s">
        <v>682</v>
      </c>
      <c r="AM103" s="17" t="s">
        <v>680</v>
      </c>
      <c r="AN103" s="17" t="s">
        <v>683</v>
      </c>
      <c r="AO103" s="17" t="s">
        <v>684</v>
      </c>
      <c r="AP103" s="198" t="s">
        <v>504</v>
      </c>
    </row>
    <row r="104" spans="33:42" x14ac:dyDescent="0.25">
      <c r="AG104" t="str">
        <f>VLOOKUP(AH104,AH104:AR198,$AE$1,FALSE)</f>
        <v>řetězovým převodem</v>
      </c>
      <c r="AH104" t="s">
        <v>685</v>
      </c>
      <c r="AI104" t="s">
        <v>686</v>
      </c>
      <c r="AJ104" t="s">
        <v>687</v>
      </c>
      <c r="AK104" t="s">
        <v>688</v>
      </c>
      <c r="AL104" t="s">
        <v>689</v>
      </c>
      <c r="AM104" s="17" t="s">
        <v>690</v>
      </c>
      <c r="AN104" s="17" t="s">
        <v>691</v>
      </c>
      <c r="AO104" s="17" t="s">
        <v>692</v>
      </c>
      <c r="AP104" s="199" t="s">
        <v>693</v>
      </c>
    </row>
    <row r="106" spans="33:42" x14ac:dyDescent="0.25">
      <c r="AG106" t="str">
        <f>VLOOKUP(AH106,AH106:AR200,$AE$1,FALSE)</f>
        <v>Umístění motoru</v>
      </c>
      <c r="AH106" t="s">
        <v>694</v>
      </c>
      <c r="AI106" t="s">
        <v>695</v>
      </c>
      <c r="AJ106" t="s">
        <v>696</v>
      </c>
      <c r="AK106" t="s">
        <v>697</v>
      </c>
      <c r="AL106" t="s">
        <v>698</v>
      </c>
      <c r="AM106" t="s">
        <v>699</v>
      </c>
      <c r="AN106" t="s">
        <v>700</v>
      </c>
      <c r="AO106" t="s">
        <v>701</v>
      </c>
      <c r="AP106" t="s">
        <v>702</v>
      </c>
    </row>
    <row r="107" spans="33:42" x14ac:dyDescent="0.25">
      <c r="AG107" t="str">
        <f>VLOOKUP(AH107,AH107:AR201,$AE$1,FALSE)</f>
        <v>Na levé straně</v>
      </c>
      <c r="AH107" t="s">
        <v>703</v>
      </c>
      <c r="AI107" t="s">
        <v>704</v>
      </c>
      <c r="AJ107" t="s">
        <v>705</v>
      </c>
      <c r="AK107" t="s">
        <v>706</v>
      </c>
      <c r="AL107" t="s">
        <v>707</v>
      </c>
      <c r="AM107" t="s">
        <v>708</v>
      </c>
      <c r="AN107" t="s">
        <v>709</v>
      </c>
      <c r="AO107" t="s">
        <v>710</v>
      </c>
      <c r="AP107" t="s">
        <v>711</v>
      </c>
    </row>
    <row r="108" spans="33:42" x14ac:dyDescent="0.25">
      <c r="AG108" t="str">
        <f>VLOOKUP(AH108,AH108:AR202,$AE$1,FALSE)</f>
        <v>Na pravé straně</v>
      </c>
      <c r="AH108" t="s">
        <v>712</v>
      </c>
      <c r="AI108" t="s">
        <v>713</v>
      </c>
      <c r="AJ108" t="s">
        <v>714</v>
      </c>
      <c r="AK108" t="s">
        <v>715</v>
      </c>
      <c r="AL108" t="s">
        <v>716</v>
      </c>
      <c r="AM108" t="s">
        <v>717</v>
      </c>
      <c r="AN108" t="s">
        <v>718</v>
      </c>
      <c r="AO108" t="s">
        <v>719</v>
      </c>
      <c r="AP108" t="s">
        <v>720</v>
      </c>
    </row>
    <row r="110" spans="33:42" x14ac:dyDescent="0.25">
      <c r="AG110" t="str">
        <f>VLOOKUP(AH110,AH110:AR204,$AE$1,FALSE)</f>
        <v>Variantní  montáž pružin</v>
      </c>
      <c r="AH110" t="s">
        <v>721</v>
      </c>
      <c r="AI110" t="s">
        <v>722</v>
      </c>
      <c r="AJ110" t="s">
        <v>723</v>
      </c>
      <c r="AK110" t="s">
        <v>724</v>
      </c>
      <c r="AL110" t="s">
        <v>725</v>
      </c>
      <c r="AM110" t="s">
        <v>726</v>
      </c>
    </row>
    <row r="111" spans="33:42" x14ac:dyDescent="0.25">
      <c r="AG111" t="str">
        <f>VLOOKUP(AH111,AH111:AR205,$AE$1,FALSE)</f>
        <v>když B&lt;2000 - STP-1 pružina (SPR-1)</v>
      </c>
      <c r="AH111" t="s">
        <v>727</v>
      </c>
      <c r="AI111" t="s">
        <v>728</v>
      </c>
      <c r="AJ111" t="s">
        <v>729</v>
      </c>
      <c r="AK111" t="s">
        <v>730</v>
      </c>
      <c r="AL111" t="s">
        <v>731</v>
      </c>
      <c r="AM111" t="s">
        <v>732</v>
      </c>
    </row>
    <row r="112" spans="33:42" x14ac:dyDescent="0.25">
      <c r="AG112" t="str">
        <f>VLOOKUP(AH112,AH112:AR206,$AE$1,FALSE)</f>
        <v>když 2000&gt;=W&lt;6000 - STP-2 pružiny (SPR-2)</v>
      </c>
      <c r="AH112" t="s">
        <v>733</v>
      </c>
      <c r="AI112" t="s">
        <v>734</v>
      </c>
      <c r="AJ112" t="s">
        <v>735</v>
      </c>
      <c r="AK112" t="s">
        <v>736</v>
      </c>
      <c r="AL112" t="s">
        <v>737</v>
      </c>
      <c r="AM112" t="s">
        <v>738</v>
      </c>
    </row>
    <row r="113" spans="33:42" x14ac:dyDescent="0.25">
      <c r="AG113" t="str">
        <f>VLOOKUP(AH113,AH113:AR207,$AE$1,FALSE)</f>
        <v>když W&gt;=6000 = STP-4 pružiny (SPR-4)</v>
      </c>
      <c r="AH113" t="s">
        <v>739</v>
      </c>
      <c r="AI113" t="s">
        <v>740</v>
      </c>
      <c r="AJ113" t="s">
        <v>741</v>
      </c>
      <c r="AK113" t="s">
        <v>742</v>
      </c>
      <c r="AL113" t="s">
        <v>743</v>
      </c>
      <c r="AM113" t="s">
        <v>744</v>
      </c>
    </row>
    <row r="115" spans="33:42" x14ac:dyDescent="0.25">
      <c r="AG115" t="str">
        <f>VLOOKUP(AH115,AH115:AR209,$AE$1,FALSE)</f>
        <v>Typ panelu</v>
      </c>
      <c r="AH115" t="s">
        <v>745</v>
      </c>
      <c r="AI115" t="s">
        <v>746</v>
      </c>
      <c r="AJ115" t="s">
        <v>747</v>
      </c>
      <c r="AK115" t="s">
        <v>748</v>
      </c>
      <c r="AL115" t="s">
        <v>749</v>
      </c>
      <c r="AM115" t="s">
        <v>750</v>
      </c>
      <c r="AN115" t="s">
        <v>751</v>
      </c>
      <c r="AO115" t="s">
        <v>752</v>
      </c>
      <c r="AP115" t="s">
        <v>753</v>
      </c>
    </row>
    <row r="117" spans="33:42" x14ac:dyDescent="0.25">
      <c r="AG117" t="str">
        <f>VLOOKUP(AH117,AH117:AR211,$AE$1,FALSE)</f>
        <v>40mm</v>
      </c>
      <c r="AH117" t="s">
        <v>754</v>
      </c>
      <c r="AI117" t="s">
        <v>754</v>
      </c>
      <c r="AJ117" t="s">
        <v>754</v>
      </c>
      <c r="AK117" t="s">
        <v>754</v>
      </c>
      <c r="AL117" t="s">
        <v>754</v>
      </c>
      <c r="AM117" t="s">
        <v>754</v>
      </c>
      <c r="AN117" t="s">
        <v>755</v>
      </c>
      <c r="AO117" t="s">
        <v>754</v>
      </c>
      <c r="AP117" t="s">
        <v>756</v>
      </c>
    </row>
    <row r="118" spans="33:42" x14ac:dyDescent="0.25">
      <c r="AG118" t="str">
        <f>VLOOKUP(AH118,AH118:AR212,$AE$1,FALSE)</f>
        <v>80mm</v>
      </c>
      <c r="AH118" t="s">
        <v>757</v>
      </c>
      <c r="AI118" t="s">
        <v>757</v>
      </c>
      <c r="AJ118" t="s">
        <v>757</v>
      </c>
      <c r="AK118" t="s">
        <v>757</v>
      </c>
      <c r="AL118" t="s">
        <v>757</v>
      </c>
      <c r="AM118" t="s">
        <v>757</v>
      </c>
      <c r="AN118" t="s">
        <v>758</v>
      </c>
      <c r="AO118" t="s">
        <v>757</v>
      </c>
      <c r="AP118" t="s">
        <v>759</v>
      </c>
    </row>
    <row r="120" spans="33:42" x14ac:dyDescent="0.25">
      <c r="AG120" t="str">
        <f>VLOOKUP(AH120,AH120:AR214,$AE$1,FALSE)</f>
        <v>Typ sekčních vrat</v>
      </c>
      <c r="AH120" t="s">
        <v>760</v>
      </c>
      <c r="AI120" t="s">
        <v>761</v>
      </c>
      <c r="AJ120" t="s">
        <v>762</v>
      </c>
      <c r="AK120" t="s">
        <v>763</v>
      </c>
      <c r="AL120" t="s">
        <v>764</v>
      </c>
      <c r="AM120" t="s">
        <v>765</v>
      </c>
      <c r="AN120" t="s">
        <v>766</v>
      </c>
      <c r="AO120" t="s">
        <v>767</v>
      </c>
      <c r="AP120" t="s">
        <v>768</v>
      </c>
    </row>
    <row r="121" spans="33:42" x14ac:dyDescent="0.25">
      <c r="AG121" t="str">
        <f>VLOOKUP(AH121,AH121:AR215,$AE$1,FALSE)</f>
        <v>Průmyslové</v>
      </c>
      <c r="AH121" t="s">
        <v>769</v>
      </c>
      <c r="AI121" t="s">
        <v>770</v>
      </c>
      <c r="AJ121" t="s">
        <v>771</v>
      </c>
      <c r="AK121" t="s">
        <v>772</v>
      </c>
      <c r="AL121" t="s">
        <v>773</v>
      </c>
      <c r="AM121" t="s">
        <v>774</v>
      </c>
      <c r="AN121" t="s">
        <v>775</v>
      </c>
      <c r="AO121" t="s">
        <v>776</v>
      </c>
      <c r="AP121" t="s">
        <v>777</v>
      </c>
    </row>
    <row r="122" spans="33:42" x14ac:dyDescent="0.25">
      <c r="AG122" t="str">
        <f>VLOOKUP(AH122,AH122:AR216,$AE$1,FALSE)</f>
        <v>Garážové</v>
      </c>
      <c r="AH122" t="s">
        <v>778</v>
      </c>
      <c r="AI122" t="s">
        <v>779</v>
      </c>
      <c r="AJ122" t="s">
        <v>780</v>
      </c>
      <c r="AK122" t="s">
        <v>781</v>
      </c>
      <c r="AL122" t="s">
        <v>782</v>
      </c>
      <c r="AM122" t="s">
        <v>782</v>
      </c>
      <c r="AN122" t="s">
        <v>783</v>
      </c>
      <c r="AO122" t="s">
        <v>784</v>
      </c>
      <c r="AP122" t="s">
        <v>785</v>
      </c>
    </row>
    <row r="123" spans="33:42" x14ac:dyDescent="0.25">
      <c r="AG123" t="str">
        <f>VLOOKUP(AH123,AH123:AR217,$AE$1,FALSE)</f>
        <v>PV</v>
      </c>
      <c r="AH123" t="s">
        <v>786</v>
      </c>
      <c r="AI123" t="s">
        <v>787</v>
      </c>
      <c r="AJ123" t="s">
        <v>788</v>
      </c>
      <c r="AK123" t="s">
        <v>789</v>
      </c>
      <c r="AL123" t="s">
        <v>790</v>
      </c>
      <c r="AM123" t="s">
        <v>787</v>
      </c>
      <c r="AN123" t="s">
        <v>787</v>
      </c>
      <c r="AO123" t="s">
        <v>787</v>
      </c>
      <c r="AP123" t="s">
        <v>787</v>
      </c>
    </row>
    <row r="125" spans="33:42" x14ac:dyDescent="0.25">
      <c r="AG125" t="str">
        <f>VLOOKUP(AH125,AH125:AR219,$AE$1,FALSE)</f>
        <v>Typ vedení</v>
      </c>
      <c r="AH125" t="s">
        <v>791</v>
      </c>
      <c r="AI125" t="s">
        <v>792</v>
      </c>
      <c r="AJ125" t="s">
        <v>793</v>
      </c>
      <c r="AK125" t="s">
        <v>794</v>
      </c>
      <c r="AL125" t="s">
        <v>795</v>
      </c>
      <c r="AM125" t="s">
        <v>796</v>
      </c>
      <c r="AN125" t="s">
        <v>797</v>
      </c>
      <c r="AO125" t="s">
        <v>798</v>
      </c>
      <c r="AP125" t="s">
        <v>799</v>
      </c>
    </row>
    <row r="126" spans="33:42" x14ac:dyDescent="0.25">
      <c r="AG126" t="str">
        <f>VLOOKUP(AH126,AH126:AR220,$AE$1,FALSE)</f>
        <v>2"</v>
      </c>
      <c r="AH126" t="s">
        <v>800</v>
      </c>
      <c r="AI126" t="s">
        <v>800</v>
      </c>
      <c r="AJ126" t="s">
        <v>800</v>
      </c>
      <c r="AK126" t="s">
        <v>800</v>
      </c>
      <c r="AL126" t="s">
        <v>800</v>
      </c>
      <c r="AM126" t="s">
        <v>800</v>
      </c>
      <c r="AN126" t="s">
        <v>800</v>
      </c>
      <c r="AO126" t="s">
        <v>800</v>
      </c>
      <c r="AP126" t="s">
        <v>800</v>
      </c>
    </row>
    <row r="127" spans="33:42" x14ac:dyDescent="0.25">
      <c r="AG127" t="str">
        <f>VLOOKUP(AH127,AH127:AR221,$AE$1,FALSE)</f>
        <v>3"</v>
      </c>
      <c r="AH127" t="s">
        <v>801</v>
      </c>
      <c r="AI127" t="s">
        <v>801</v>
      </c>
      <c r="AJ127" t="s">
        <v>801</v>
      </c>
      <c r="AK127" t="s">
        <v>801</v>
      </c>
      <c r="AL127" t="s">
        <v>801</v>
      </c>
      <c r="AM127" t="s">
        <v>801</v>
      </c>
      <c r="AN127" t="s">
        <v>801</v>
      </c>
      <c r="AO127" t="s">
        <v>801</v>
      </c>
      <c r="AP127" t="s">
        <v>801</v>
      </c>
    </row>
  </sheetData>
  <sheetProtection password="996F" sheet="1" objects="1" selectLockedCells="1"/>
  <mergeCells count="50">
    <mergeCell ref="N64:O64"/>
    <mergeCell ref="V65:AB67"/>
    <mergeCell ref="V68:Y69"/>
    <mergeCell ref="AA68:AB68"/>
    <mergeCell ref="AA69:AB69"/>
    <mergeCell ref="R62:S62"/>
    <mergeCell ref="T62:U62"/>
    <mergeCell ref="V62:W62"/>
    <mergeCell ref="X62:Y62"/>
    <mergeCell ref="R63:U64"/>
    <mergeCell ref="V63:AB64"/>
    <mergeCell ref="R35:R36"/>
    <mergeCell ref="C42:C43"/>
    <mergeCell ref="R51:AB52"/>
    <mergeCell ref="R54:AB55"/>
    <mergeCell ref="W60:AB60"/>
    <mergeCell ref="M61:P61"/>
    <mergeCell ref="R61:S61"/>
    <mergeCell ref="T61:U61"/>
    <mergeCell ref="V61:W61"/>
    <mergeCell ref="X61:Y61"/>
    <mergeCell ref="H26:H27"/>
    <mergeCell ref="T26:T27"/>
    <mergeCell ref="B27:B28"/>
    <mergeCell ref="H28:H29"/>
    <mergeCell ref="F29:G29"/>
    <mergeCell ref="Y31:AA32"/>
    <mergeCell ref="B18:B19"/>
    <mergeCell ref="S18:S19"/>
    <mergeCell ref="T18:T20"/>
    <mergeCell ref="U18:U20"/>
    <mergeCell ref="C19:C20"/>
    <mergeCell ref="U21:U23"/>
    <mergeCell ref="T22:T23"/>
    <mergeCell ref="B23:B26"/>
    <mergeCell ref="C24:C26"/>
    <mergeCell ref="T24:T25"/>
    <mergeCell ref="D12:F12"/>
    <mergeCell ref="J13:L13"/>
    <mergeCell ref="R13:R14"/>
    <mergeCell ref="J14:M14"/>
    <mergeCell ref="C16:C17"/>
    <mergeCell ref="H17:H18"/>
    <mergeCell ref="X2:AB2"/>
    <mergeCell ref="X3:AB3"/>
    <mergeCell ref="K7:M7"/>
    <mergeCell ref="R7:S7"/>
    <mergeCell ref="K9:M9"/>
    <mergeCell ref="P10:P11"/>
    <mergeCell ref="K11:M11"/>
  </mergeCells>
  <conditionalFormatting sqref="R7">
    <cfRule type="expression" dxfId="1" priority="1" stopIfTrue="1">
      <formula>AND(OR($K$7=$AG$102,K7=""))</formula>
    </cfRule>
  </conditionalFormatting>
  <conditionalFormatting sqref="K3 K5">
    <cfRule type="cellIs" dxfId="0" priority="2" stopIfTrue="1" operator="equal">
      <formula>0</formula>
    </cfRule>
  </conditionalFormatting>
  <dataValidations count="7">
    <dataValidation type="list" allowBlank="1" showInputMessage="1" showErrorMessage="1" sqref="E5">
      <formula1>$AD$3:$AD$11</formula1>
    </dataValidation>
    <dataValidation type="list" allowBlank="1" showInputMessage="1" showErrorMessage="1" sqref="K7">
      <formula1>$AG$102:$AG$104</formula1>
    </dataValidation>
    <dataValidation type="list" allowBlank="1" showInputMessage="1" showErrorMessage="1" sqref="R7">
      <formula1>$AG$107:$AG$108</formula1>
    </dataValidation>
    <dataValidation type="custom" allowBlank="1" showInputMessage="1" showErrorMessage="1" error="Indy H max. 3600mm_x000a__x000a_" sqref="K5">
      <formula1>IF(K5&gt;3600,FALSE,TRUE)</formula1>
    </dataValidation>
    <dataValidation type="custom" allowBlank="1" showInputMessage="1" showErrorMessage="1" error="W max. 7000 mm_x000a_" sqref="K3">
      <formula1>IF(K3&gt;7000,FALSE,TRUE)</formula1>
    </dataValidation>
    <dataValidation type="list" allowBlank="1" showInputMessage="1" showErrorMessage="1" sqref="K11:M11">
      <formula1>AG126:AG127</formula1>
    </dataValidation>
    <dataValidation type="list" allowBlank="1" showInputMessage="1" showErrorMessage="1" sqref="K9:M9">
      <formula1>AG117:AG118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8" scale="70" orientation="landscape" r:id="rId1"/>
  <headerFooter alignWithMargins="0"/>
  <colBreaks count="1" manualBreakCount="1">
    <brk id="29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49"/>
  <sheetViews>
    <sheetView showGridLines="0" workbookViewId="0">
      <selection activeCell="E48" sqref="E48:G49"/>
    </sheetView>
  </sheetViews>
  <sheetFormatPr defaultRowHeight="15" x14ac:dyDescent="0.25"/>
  <sheetData>
    <row r="1" spans="1:9" x14ac:dyDescent="0.25">
      <c r="A1" s="200"/>
      <c r="B1" s="9"/>
      <c r="C1" s="9"/>
      <c r="D1" s="9"/>
      <c r="E1" s="9"/>
      <c r="F1" s="9"/>
      <c r="G1" s="9"/>
      <c r="H1" s="9"/>
      <c r="I1" s="201"/>
    </row>
    <row r="2" spans="1:9" x14ac:dyDescent="0.25">
      <c r="A2" s="46"/>
      <c r="B2" s="47"/>
      <c r="C2" s="47"/>
      <c r="D2" s="47"/>
      <c r="E2" s="47"/>
      <c r="F2" s="47"/>
      <c r="G2" s="47"/>
      <c r="H2" s="47"/>
      <c r="I2" s="202"/>
    </row>
    <row r="3" spans="1:9" x14ac:dyDescent="0.25">
      <c r="A3" s="46"/>
      <c r="B3" s="47"/>
      <c r="C3" s="58"/>
      <c r="D3" s="47"/>
      <c r="E3" s="47"/>
      <c r="F3" s="47"/>
      <c r="G3" s="47"/>
      <c r="H3" s="47"/>
      <c r="I3" s="202"/>
    </row>
    <row r="4" spans="1:9" x14ac:dyDescent="0.25">
      <c r="A4" s="46"/>
      <c r="B4" s="203"/>
      <c r="C4" s="203"/>
      <c r="D4" s="47"/>
      <c r="E4" s="47"/>
      <c r="F4" s="47"/>
      <c r="G4" s="47"/>
      <c r="H4" s="47"/>
      <c r="I4" s="202"/>
    </row>
    <row r="5" spans="1:9" x14ac:dyDescent="0.25">
      <c r="A5" s="46"/>
      <c r="B5" s="47"/>
      <c r="C5" s="47"/>
      <c r="D5" s="58">
        <f>SL_350!$D$16</f>
        <v>120</v>
      </c>
      <c r="E5" s="47"/>
      <c r="F5" s="47"/>
      <c r="G5" s="47"/>
      <c r="H5" s="47"/>
      <c r="I5" s="202"/>
    </row>
    <row r="6" spans="1:9" x14ac:dyDescent="0.25">
      <c r="A6" s="204">
        <f>SL_350!C18</f>
        <v>255</v>
      </c>
      <c r="B6" s="47"/>
      <c r="C6" s="47"/>
      <c r="D6" s="47"/>
      <c r="E6" s="47"/>
      <c r="F6" s="47"/>
      <c r="G6" s="47"/>
      <c r="H6" s="47"/>
      <c r="I6" s="202"/>
    </row>
    <row r="7" spans="1:9" x14ac:dyDescent="0.25">
      <c r="A7" s="204"/>
      <c r="B7" s="47"/>
      <c r="C7" s="47"/>
      <c r="D7" s="47"/>
      <c r="E7" s="47"/>
      <c r="F7" s="47"/>
      <c r="G7" s="47"/>
      <c r="H7" s="47"/>
      <c r="I7" s="202"/>
    </row>
    <row r="8" spans="1:9" x14ac:dyDescent="0.25">
      <c r="A8" s="204"/>
      <c r="B8" s="47"/>
      <c r="C8" s="47"/>
      <c r="D8" s="47"/>
      <c r="E8" s="47"/>
      <c r="F8" s="47"/>
      <c r="G8" s="47"/>
      <c r="H8" s="47"/>
      <c r="I8" s="202"/>
    </row>
    <row r="9" spans="1:9" x14ac:dyDescent="0.25">
      <c r="A9" s="204"/>
      <c r="B9" s="47"/>
      <c r="C9" s="47"/>
      <c r="D9" s="47"/>
      <c r="E9" s="47"/>
      <c r="F9" s="47"/>
      <c r="G9" s="47"/>
      <c r="H9" s="47"/>
      <c r="I9" s="202"/>
    </row>
    <row r="10" spans="1:9" x14ac:dyDescent="0.25">
      <c r="A10" s="46"/>
      <c r="B10" s="47"/>
      <c r="C10" s="47"/>
      <c r="D10" s="47"/>
      <c r="E10" s="47"/>
      <c r="F10" s="47"/>
      <c r="G10" s="47"/>
      <c r="H10" s="47"/>
      <c r="I10" s="202"/>
    </row>
    <row r="11" spans="1:9" x14ac:dyDescent="0.25">
      <c r="A11" s="46"/>
      <c r="B11" s="47"/>
      <c r="C11" s="47"/>
      <c r="D11" s="47"/>
      <c r="E11" s="47"/>
      <c r="F11" s="47"/>
      <c r="G11" s="47"/>
      <c r="H11" s="47"/>
      <c r="I11" s="202"/>
    </row>
    <row r="12" spans="1:9" x14ac:dyDescent="0.25">
      <c r="A12" s="46"/>
      <c r="B12" s="47"/>
      <c r="C12" s="47"/>
      <c r="D12" s="47"/>
      <c r="E12" s="47"/>
      <c r="F12" s="47"/>
      <c r="G12" s="47"/>
      <c r="H12" s="47"/>
      <c r="I12" s="202"/>
    </row>
    <row r="13" spans="1:9" x14ac:dyDescent="0.25">
      <c r="A13" s="46"/>
      <c r="B13" s="47"/>
      <c r="C13" s="47"/>
      <c r="D13" s="47"/>
      <c r="E13" s="47"/>
      <c r="F13" s="47"/>
      <c r="G13" s="47"/>
      <c r="H13" s="47"/>
      <c r="I13" s="202"/>
    </row>
    <row r="14" spans="1:9" x14ac:dyDescent="0.25">
      <c r="A14" s="46"/>
      <c r="B14" s="47"/>
      <c r="C14" s="47"/>
      <c r="D14" s="47"/>
      <c r="E14" s="47"/>
      <c r="F14" s="47"/>
      <c r="G14" s="47"/>
      <c r="H14" s="47"/>
      <c r="I14" s="202"/>
    </row>
    <row r="15" spans="1:9" x14ac:dyDescent="0.25">
      <c r="A15" s="205" t="str">
        <f>SL_350!B23</f>
        <v>H=</v>
      </c>
      <c r="B15" s="47"/>
      <c r="C15" s="47"/>
      <c r="D15" s="47"/>
      <c r="E15" s="47"/>
      <c r="F15" s="47"/>
      <c r="G15" s="47"/>
      <c r="H15" s="47"/>
      <c r="I15" s="202"/>
    </row>
    <row r="16" spans="1:9" x14ac:dyDescent="0.25">
      <c r="A16" s="205"/>
      <c r="B16" s="47"/>
      <c r="C16" s="47"/>
      <c r="D16" s="47"/>
      <c r="E16" s="47"/>
      <c r="F16" s="47"/>
      <c r="G16" s="47"/>
      <c r="H16" s="47"/>
      <c r="I16" s="202"/>
    </row>
    <row r="17" spans="1:9" x14ac:dyDescent="0.25">
      <c r="A17" s="205"/>
      <c r="B17" s="47"/>
      <c r="C17" s="47"/>
      <c r="D17" s="47"/>
      <c r="E17" s="47"/>
      <c r="F17" s="47"/>
      <c r="G17" s="47"/>
      <c r="H17" s="47"/>
      <c r="I17" s="202"/>
    </row>
    <row r="18" spans="1:9" x14ac:dyDescent="0.25">
      <c r="A18" s="205"/>
      <c r="B18" s="47"/>
      <c r="C18" s="47"/>
      <c r="D18" s="47"/>
      <c r="E18" s="47"/>
      <c r="F18" s="47"/>
      <c r="G18" s="47"/>
      <c r="H18" s="47"/>
      <c r="I18" s="202"/>
    </row>
    <row r="19" spans="1:9" x14ac:dyDescent="0.25">
      <c r="A19" s="46"/>
      <c r="B19" s="47"/>
      <c r="C19" s="47"/>
      <c r="D19" s="47"/>
      <c r="E19" s="47"/>
      <c r="F19" s="47"/>
      <c r="G19" s="47"/>
      <c r="H19" s="47"/>
      <c r="I19" s="202"/>
    </row>
    <row r="20" spans="1:9" x14ac:dyDescent="0.25">
      <c r="A20" s="46"/>
      <c r="B20" s="47"/>
      <c r="C20" s="47"/>
      <c r="D20" s="47"/>
      <c r="E20" s="47"/>
      <c r="F20" s="47"/>
      <c r="G20" s="47"/>
      <c r="H20" s="47"/>
      <c r="I20" s="202"/>
    </row>
    <row r="21" spans="1:9" x14ac:dyDescent="0.25">
      <c r="A21" s="46"/>
      <c r="B21" s="47"/>
      <c r="C21" s="47"/>
      <c r="D21" s="47"/>
      <c r="E21" s="47"/>
      <c r="F21" s="47"/>
      <c r="G21" s="47"/>
      <c r="H21" s="47"/>
      <c r="I21" s="202"/>
    </row>
    <row r="22" spans="1:9" x14ac:dyDescent="0.25">
      <c r="A22" s="46"/>
      <c r="B22" s="47"/>
      <c r="C22" s="47"/>
      <c r="D22" s="47"/>
      <c r="E22" s="47"/>
      <c r="F22" s="47"/>
      <c r="G22" s="47"/>
      <c r="H22" s="47"/>
      <c r="I22" s="202"/>
    </row>
    <row r="23" spans="1:9" x14ac:dyDescent="0.25">
      <c r="A23" s="46"/>
      <c r="B23" s="47"/>
      <c r="C23" s="47"/>
      <c r="D23" s="47"/>
      <c r="E23" s="47"/>
      <c r="F23" s="47"/>
      <c r="G23" s="47"/>
      <c r="H23" s="47"/>
      <c r="I23" s="202"/>
    </row>
    <row r="24" spans="1:9" x14ac:dyDescent="0.25">
      <c r="A24" s="46"/>
      <c r="B24" s="47"/>
      <c r="C24" s="47"/>
      <c r="D24" s="47"/>
      <c r="E24" s="47"/>
      <c r="F24" s="47"/>
      <c r="G24" s="47"/>
      <c r="H24" s="47"/>
      <c r="I24" s="202"/>
    </row>
    <row r="25" spans="1:9" x14ac:dyDescent="0.25">
      <c r="A25" s="46"/>
      <c r="B25" s="47"/>
      <c r="C25" s="47"/>
      <c r="D25" s="58">
        <f>SL_350!$D$34</f>
        <v>100</v>
      </c>
      <c r="E25" s="47"/>
      <c r="F25" s="47"/>
      <c r="G25" s="49">
        <f>SL_350!$G$34</f>
        <v>100</v>
      </c>
      <c r="H25" s="47"/>
      <c r="I25" s="202"/>
    </row>
    <row r="26" spans="1:9" x14ac:dyDescent="0.25">
      <c r="A26" s="46"/>
      <c r="B26" s="47"/>
      <c r="C26" s="47"/>
      <c r="D26" s="58"/>
      <c r="E26" s="47"/>
      <c r="F26" s="47"/>
      <c r="G26" s="51"/>
      <c r="H26" s="47"/>
      <c r="I26" s="202"/>
    </row>
    <row r="27" spans="1:9" x14ac:dyDescent="0.25">
      <c r="A27" s="46"/>
      <c r="B27" s="47"/>
      <c r="C27" s="47"/>
      <c r="D27" s="203"/>
      <c r="E27" s="47"/>
      <c r="F27" s="100">
        <f>SL_350!$F$36</f>
        <v>0</v>
      </c>
      <c r="G27" s="203"/>
      <c r="H27" s="47"/>
      <c r="I27" s="202"/>
    </row>
    <row r="28" spans="1:9" x14ac:dyDescent="0.25">
      <c r="A28" s="46"/>
      <c r="B28" s="47"/>
      <c r="C28" s="47"/>
      <c r="D28" s="47"/>
      <c r="E28" s="47"/>
      <c r="F28" s="100"/>
      <c r="G28" s="47"/>
      <c r="H28" s="47"/>
      <c r="I28" s="202"/>
    </row>
    <row r="29" spans="1:9" x14ac:dyDescent="0.25">
      <c r="A29" s="46"/>
      <c r="B29" s="47"/>
      <c r="C29" s="47"/>
      <c r="D29" s="47"/>
      <c r="E29" s="47"/>
      <c r="F29" s="58"/>
      <c r="G29" s="47"/>
      <c r="H29" s="47"/>
      <c r="I29" s="202"/>
    </row>
    <row r="30" spans="1:9" x14ac:dyDescent="0.25">
      <c r="A30" s="46"/>
      <c r="B30" s="47"/>
      <c r="C30" s="47"/>
      <c r="D30" s="47"/>
      <c r="E30" s="47"/>
      <c r="F30" s="47"/>
      <c r="G30" s="47"/>
      <c r="H30" s="47"/>
      <c r="I30" s="202"/>
    </row>
    <row r="31" spans="1:9" x14ac:dyDescent="0.25">
      <c r="A31" s="46"/>
      <c r="B31" s="47"/>
      <c r="C31" s="47"/>
      <c r="D31" s="47"/>
      <c r="E31" s="47"/>
      <c r="F31" s="47"/>
      <c r="G31" s="47"/>
      <c r="H31" s="47"/>
      <c r="I31" s="202"/>
    </row>
    <row r="32" spans="1:9" x14ac:dyDescent="0.25">
      <c r="A32" s="46"/>
      <c r="B32" s="47"/>
      <c r="C32" s="47"/>
      <c r="D32" s="47"/>
      <c r="E32" s="47"/>
      <c r="F32" s="47"/>
      <c r="G32" s="47"/>
      <c r="H32" s="47"/>
      <c r="I32" s="202"/>
    </row>
    <row r="33" spans="1:9" x14ac:dyDescent="0.25">
      <c r="A33" s="44"/>
      <c r="B33" s="8"/>
      <c r="C33" s="8"/>
      <c r="D33" s="8"/>
      <c r="E33" s="8"/>
      <c r="F33" s="8"/>
      <c r="G33" s="8"/>
      <c r="H33" s="8"/>
      <c r="I33" s="7"/>
    </row>
    <row r="34" spans="1:9" x14ac:dyDescent="0.25">
      <c r="A34" s="44"/>
      <c r="B34" s="8"/>
      <c r="C34" s="8"/>
      <c r="D34" s="8"/>
      <c r="E34" s="8"/>
      <c r="F34" s="8"/>
      <c r="G34" s="8"/>
      <c r="H34" s="8"/>
      <c r="I34" s="7"/>
    </row>
    <row r="35" spans="1:9" x14ac:dyDescent="0.25">
      <c r="A35" s="44"/>
      <c r="B35" s="8"/>
      <c r="C35" s="8"/>
      <c r="D35" s="8"/>
      <c r="E35" s="8"/>
      <c r="F35" s="8"/>
      <c r="G35" s="8"/>
      <c r="H35" s="8"/>
      <c r="I35" s="7"/>
    </row>
    <row r="36" spans="1:9" x14ac:dyDescent="0.25">
      <c r="A36" s="44"/>
      <c r="B36" s="8"/>
      <c r="C36" s="8"/>
      <c r="D36" s="8"/>
      <c r="E36" s="8"/>
      <c r="F36" s="8"/>
      <c r="G36" s="8"/>
      <c r="H36" s="8"/>
      <c r="I36" s="7"/>
    </row>
    <row r="37" spans="1:9" x14ac:dyDescent="0.25">
      <c r="A37" s="44"/>
      <c r="B37" s="8"/>
      <c r="C37" s="8"/>
      <c r="D37" s="8"/>
      <c r="E37" s="8"/>
      <c r="F37" s="8"/>
      <c r="G37" s="8"/>
      <c r="H37" s="8"/>
      <c r="I37" s="7"/>
    </row>
    <row r="38" spans="1:9" x14ac:dyDescent="0.25">
      <c r="A38" s="44"/>
      <c r="B38" s="8"/>
      <c r="C38" s="8"/>
      <c r="D38" s="8"/>
      <c r="E38" s="8"/>
      <c r="F38" s="8"/>
      <c r="G38" s="8"/>
      <c r="H38" s="8"/>
      <c r="I38" s="7"/>
    </row>
    <row r="39" spans="1:9" ht="15.75" thickBot="1" x14ac:dyDescent="0.3">
      <c r="A39" s="44"/>
      <c r="B39" s="8"/>
      <c r="C39" s="8"/>
      <c r="D39" s="8"/>
      <c r="E39" s="8"/>
      <c r="F39" s="8"/>
      <c r="G39" s="8"/>
      <c r="H39" s="8"/>
      <c r="I39" s="7"/>
    </row>
    <row r="40" spans="1:9" x14ac:dyDescent="0.25">
      <c r="A40" s="44"/>
      <c r="B40" s="8"/>
      <c r="C40" s="183" t="str">
        <f>SL_350!V65</f>
        <v>STANDARDNÍ VEDENÍ (SL) 350</v>
      </c>
      <c r="D40" s="184"/>
      <c r="E40" s="184"/>
      <c r="F40" s="184"/>
      <c r="G40" s="184"/>
      <c r="H40" s="184"/>
      <c r="I40" s="185"/>
    </row>
    <row r="41" spans="1:9" ht="15.75" thickBot="1" x14ac:dyDescent="0.3">
      <c r="A41" s="44"/>
      <c r="B41" s="8"/>
      <c r="C41" s="191"/>
      <c r="D41" s="192"/>
      <c r="E41" s="192"/>
      <c r="F41" s="192"/>
      <c r="G41" s="192"/>
      <c r="H41" s="192"/>
      <c r="I41" s="193"/>
    </row>
    <row r="42" spans="1:9" ht="15.75" thickBot="1" x14ac:dyDescent="0.3">
      <c r="A42" s="44"/>
      <c r="B42" s="8"/>
      <c r="C42" s="206" t="str">
        <f>SL_350!AG106</f>
        <v>Umístění motoru</v>
      </c>
      <c r="D42" s="207"/>
      <c r="E42" s="183" t="str">
        <f>SL_350!$AG$108</f>
        <v>Na pravé straně</v>
      </c>
      <c r="F42" s="184"/>
      <c r="G42" s="185"/>
      <c r="H42" s="208"/>
      <c r="I42" s="208"/>
    </row>
    <row r="43" spans="1:9" ht="15.75" thickBot="1" x14ac:dyDescent="0.3">
      <c r="A43" s="44"/>
      <c r="B43" s="8"/>
      <c r="C43" s="209"/>
      <c r="D43" s="210"/>
      <c r="E43" s="191"/>
      <c r="F43" s="192"/>
      <c r="G43" s="193"/>
      <c r="H43" s="208"/>
      <c r="I43" s="208"/>
    </row>
    <row r="44" spans="1:9" ht="15.75" thickBot="1" x14ac:dyDescent="0.3">
      <c r="A44" s="44"/>
      <c r="B44" s="8"/>
      <c r="C44" s="206" t="str">
        <f>SL_350!$R$61</f>
        <v>Sestavil:</v>
      </c>
      <c r="D44" s="207"/>
      <c r="E44" s="211"/>
      <c r="F44" s="211"/>
      <c r="G44" s="211"/>
      <c r="H44" s="208"/>
      <c r="I44" s="208"/>
    </row>
    <row r="45" spans="1:9" ht="15.75" thickBot="1" x14ac:dyDescent="0.3">
      <c r="A45" s="44"/>
      <c r="B45" s="8"/>
      <c r="C45" s="209"/>
      <c r="D45" s="210"/>
      <c r="E45" s="211"/>
      <c r="F45" s="211"/>
      <c r="G45" s="211"/>
      <c r="H45" s="208"/>
      <c r="I45" s="208"/>
    </row>
    <row r="46" spans="1:9" ht="15.75" thickBot="1" x14ac:dyDescent="0.3">
      <c r="A46" s="44"/>
      <c r="B46" s="8"/>
      <c r="C46" s="206" t="str">
        <f>SL_350!$T$61</f>
        <v>Upravil:</v>
      </c>
      <c r="D46" s="207"/>
      <c r="E46" s="211"/>
      <c r="F46" s="211"/>
      <c r="G46" s="211"/>
      <c r="H46" s="208"/>
      <c r="I46" s="208"/>
    </row>
    <row r="47" spans="1:9" ht="15.75" thickBot="1" x14ac:dyDescent="0.3">
      <c r="A47" s="44"/>
      <c r="B47" s="8"/>
      <c r="C47" s="209"/>
      <c r="D47" s="210"/>
      <c r="E47" s="211"/>
      <c r="F47" s="211"/>
      <c r="G47" s="211"/>
      <c r="H47" s="208"/>
      <c r="I47" s="208"/>
    </row>
    <row r="48" spans="1:9" ht="15.75" thickBot="1" x14ac:dyDescent="0.3">
      <c r="A48" s="44"/>
      <c r="B48" s="8"/>
      <c r="C48" s="206" t="str">
        <f>SL_350!$Z$61</f>
        <v>Datum:</v>
      </c>
      <c r="D48" s="207"/>
      <c r="E48" s="212"/>
      <c r="F48" s="212"/>
      <c r="G48" s="212"/>
      <c r="H48" s="208"/>
      <c r="I48" s="208"/>
    </row>
    <row r="49" spans="1:9" ht="15.75" thickBot="1" x14ac:dyDescent="0.3">
      <c r="A49" s="190"/>
      <c r="B49" s="1"/>
      <c r="C49" s="209"/>
      <c r="D49" s="210"/>
      <c r="E49" s="212"/>
      <c r="F49" s="212"/>
      <c r="G49" s="212"/>
      <c r="H49" s="208"/>
      <c r="I49" s="208"/>
    </row>
  </sheetData>
  <sheetProtection password="996F" sheet="1" objects="1" selectLockedCells="1"/>
  <mergeCells count="13">
    <mergeCell ref="E46:G47"/>
    <mergeCell ref="C48:D49"/>
    <mergeCell ref="E48:G49"/>
    <mergeCell ref="A6:A9"/>
    <mergeCell ref="A15:A18"/>
    <mergeCell ref="F27:F28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49"/>
  <sheetViews>
    <sheetView showGridLines="0" topLeftCell="A16" workbookViewId="0">
      <selection activeCell="H42" sqref="H42:I49"/>
    </sheetView>
  </sheetViews>
  <sheetFormatPr defaultRowHeight="15" x14ac:dyDescent="0.25"/>
  <sheetData>
    <row r="1" spans="1:9" x14ac:dyDescent="0.25">
      <c r="A1" s="200"/>
      <c r="B1" s="9"/>
      <c r="C1" s="9"/>
      <c r="D1" s="9"/>
      <c r="E1" s="9"/>
      <c r="F1" s="9"/>
      <c r="G1" s="9"/>
      <c r="H1" s="9"/>
      <c r="I1" s="201"/>
    </row>
    <row r="2" spans="1:9" x14ac:dyDescent="0.25">
      <c r="A2" s="44"/>
      <c r="B2" s="8"/>
      <c r="C2" s="8"/>
      <c r="D2" s="8"/>
      <c r="E2" s="8"/>
      <c r="F2" s="8"/>
      <c r="G2" s="8"/>
      <c r="H2" s="8"/>
      <c r="I2" s="7"/>
    </row>
    <row r="3" spans="1:9" x14ac:dyDescent="0.25">
      <c r="A3" s="46"/>
      <c r="B3" s="47"/>
      <c r="C3" s="58"/>
      <c r="D3" s="47"/>
      <c r="E3" s="47"/>
      <c r="F3" s="47"/>
      <c r="G3" s="49"/>
      <c r="H3" s="47"/>
      <c r="I3" s="202"/>
    </row>
    <row r="4" spans="1:9" x14ac:dyDescent="0.25">
      <c r="A4" s="46"/>
      <c r="B4" s="203"/>
      <c r="C4" s="49"/>
      <c r="D4" s="47"/>
      <c r="E4" s="47"/>
      <c r="F4" s="203"/>
      <c r="G4" s="203"/>
      <c r="H4" s="47"/>
      <c r="I4" s="202"/>
    </row>
    <row r="5" spans="1:9" x14ac:dyDescent="0.25">
      <c r="A5" s="46"/>
      <c r="B5" s="47"/>
      <c r="C5" s="47"/>
      <c r="D5" s="203"/>
      <c r="E5" s="47"/>
      <c r="F5" s="51">
        <f>SL_350!$D$16</f>
        <v>120</v>
      </c>
      <c r="G5" s="47"/>
      <c r="H5" s="47"/>
      <c r="I5" s="202"/>
    </row>
    <row r="6" spans="1:9" x14ac:dyDescent="0.25">
      <c r="A6" s="213"/>
      <c r="B6" s="47"/>
      <c r="C6" s="47"/>
      <c r="D6" s="47"/>
      <c r="E6" s="47"/>
      <c r="F6" s="47"/>
      <c r="G6" s="47"/>
      <c r="H6" s="47"/>
      <c r="I6" s="214">
        <f>SL_350!C18</f>
        <v>255</v>
      </c>
    </row>
    <row r="7" spans="1:9" x14ac:dyDescent="0.25">
      <c r="A7" s="213"/>
      <c r="B7" s="47"/>
      <c r="C7" s="47"/>
      <c r="D7" s="47"/>
      <c r="E7" s="47"/>
      <c r="F7" s="47"/>
      <c r="G7" s="47"/>
      <c r="H7" s="47"/>
      <c r="I7" s="214"/>
    </row>
    <row r="8" spans="1:9" x14ac:dyDescent="0.25">
      <c r="A8" s="213"/>
      <c r="B8" s="47"/>
      <c r="C8" s="47"/>
      <c r="D8" s="47"/>
      <c r="E8" s="47"/>
      <c r="F8" s="47"/>
      <c r="G8" s="47"/>
      <c r="H8" s="47"/>
      <c r="I8" s="214"/>
    </row>
    <row r="9" spans="1:9" x14ac:dyDescent="0.25">
      <c r="A9" s="213"/>
      <c r="B9" s="47"/>
      <c r="C9" s="47"/>
      <c r="D9" s="47"/>
      <c r="E9" s="47"/>
      <c r="F9" s="47"/>
      <c r="G9" s="47"/>
      <c r="H9" s="47"/>
      <c r="I9" s="214"/>
    </row>
    <row r="10" spans="1:9" x14ac:dyDescent="0.25">
      <c r="A10" s="46"/>
      <c r="B10" s="47"/>
      <c r="C10" s="47"/>
      <c r="D10" s="47"/>
      <c r="E10" s="47"/>
      <c r="F10" s="47"/>
      <c r="G10" s="47"/>
      <c r="H10" s="47"/>
      <c r="I10" s="202"/>
    </row>
    <row r="11" spans="1:9" x14ac:dyDescent="0.25">
      <c r="A11" s="46"/>
      <c r="B11" s="47"/>
      <c r="C11" s="47"/>
      <c r="D11" s="47"/>
      <c r="E11" s="47"/>
      <c r="F11" s="47"/>
      <c r="G11" s="47"/>
      <c r="H11" s="47"/>
      <c r="I11" s="202"/>
    </row>
    <row r="12" spans="1:9" x14ac:dyDescent="0.25">
      <c r="A12" s="46"/>
      <c r="B12" s="47"/>
      <c r="C12" s="47"/>
      <c r="D12" s="47"/>
      <c r="E12" s="47"/>
      <c r="F12" s="47"/>
      <c r="G12" s="47"/>
      <c r="H12" s="47"/>
      <c r="I12" s="202"/>
    </row>
    <row r="13" spans="1:9" x14ac:dyDescent="0.25">
      <c r="A13" s="46"/>
      <c r="B13" s="47"/>
      <c r="C13" s="47"/>
      <c r="D13" s="47"/>
      <c r="E13" s="47"/>
      <c r="F13" s="47"/>
      <c r="G13" s="47"/>
      <c r="H13" s="47"/>
      <c r="I13" s="202"/>
    </row>
    <row r="14" spans="1:9" x14ac:dyDescent="0.25">
      <c r="A14" s="46"/>
      <c r="B14" s="47"/>
      <c r="C14" s="47"/>
      <c r="D14" s="47"/>
      <c r="E14" s="47"/>
      <c r="F14" s="47"/>
      <c r="G14" s="47"/>
      <c r="H14" s="47"/>
      <c r="I14" s="215" t="str">
        <f>SL_350!B23</f>
        <v>H=</v>
      </c>
    </row>
    <row r="15" spans="1:9" x14ac:dyDescent="0.25">
      <c r="A15" s="216"/>
      <c r="B15" s="47"/>
      <c r="C15" s="47"/>
      <c r="D15" s="47"/>
      <c r="E15" s="47"/>
      <c r="F15" s="47"/>
      <c r="G15" s="47"/>
      <c r="H15" s="47"/>
      <c r="I15" s="215"/>
    </row>
    <row r="16" spans="1:9" x14ac:dyDescent="0.25">
      <c r="A16" s="216"/>
      <c r="B16" s="47"/>
      <c r="C16" s="47"/>
      <c r="D16" s="47"/>
      <c r="E16" s="47"/>
      <c r="F16" s="47"/>
      <c r="G16" s="47"/>
      <c r="H16" s="47"/>
      <c r="I16" s="215"/>
    </row>
    <row r="17" spans="1:9" x14ac:dyDescent="0.25">
      <c r="A17" s="216"/>
      <c r="B17" s="47"/>
      <c r="C17" s="47"/>
      <c r="D17" s="47"/>
      <c r="E17" s="47"/>
      <c r="F17" s="47"/>
      <c r="G17" s="47"/>
      <c r="H17" s="47"/>
      <c r="I17" s="215"/>
    </row>
    <row r="18" spans="1:9" x14ac:dyDescent="0.25">
      <c r="A18" s="216"/>
      <c r="B18" s="47"/>
      <c r="C18" s="47"/>
      <c r="D18" s="47"/>
      <c r="E18" s="47"/>
      <c r="F18" s="47"/>
      <c r="G18" s="47"/>
      <c r="H18" s="47"/>
      <c r="I18" s="202"/>
    </row>
    <row r="19" spans="1:9" x14ac:dyDescent="0.25">
      <c r="A19" s="46"/>
      <c r="B19" s="47"/>
      <c r="C19" s="47"/>
      <c r="D19" s="47"/>
      <c r="E19" s="47"/>
      <c r="F19" s="47"/>
      <c r="G19" s="47"/>
      <c r="H19" s="47"/>
      <c r="I19" s="202"/>
    </row>
    <row r="20" spans="1:9" x14ac:dyDescent="0.25">
      <c r="A20" s="46"/>
      <c r="B20" s="47"/>
      <c r="C20" s="47"/>
      <c r="D20" s="47"/>
      <c r="E20" s="47"/>
      <c r="F20" s="47"/>
      <c r="G20" s="47"/>
      <c r="H20" s="47"/>
      <c r="I20" s="202"/>
    </row>
    <row r="21" spans="1:9" x14ac:dyDescent="0.25">
      <c r="A21" s="46"/>
      <c r="B21" s="47"/>
      <c r="C21" s="47"/>
      <c r="D21" s="47"/>
      <c r="E21" s="47"/>
      <c r="F21" s="47"/>
      <c r="G21" s="47"/>
      <c r="H21" s="47"/>
      <c r="I21" s="202"/>
    </row>
    <row r="22" spans="1:9" x14ac:dyDescent="0.25">
      <c r="A22" s="46"/>
      <c r="B22" s="47"/>
      <c r="C22" s="47"/>
      <c r="D22" s="47"/>
      <c r="E22" s="47"/>
      <c r="F22" s="47"/>
      <c r="G22" s="47"/>
      <c r="H22" s="47"/>
      <c r="I22" s="202"/>
    </row>
    <row r="23" spans="1:9" x14ac:dyDescent="0.25">
      <c r="A23" s="46"/>
      <c r="B23" s="47"/>
      <c r="C23" s="47"/>
      <c r="D23" s="47"/>
      <c r="E23" s="47"/>
      <c r="F23" s="47"/>
      <c r="G23" s="47"/>
      <c r="H23" s="47"/>
      <c r="I23" s="202"/>
    </row>
    <row r="24" spans="1:9" x14ac:dyDescent="0.25">
      <c r="A24" s="46"/>
      <c r="B24" s="47"/>
      <c r="C24" s="47"/>
      <c r="D24" s="47"/>
      <c r="E24" s="47"/>
      <c r="F24" s="47"/>
      <c r="G24" s="47"/>
      <c r="H24" s="47"/>
      <c r="I24" s="202"/>
    </row>
    <row r="25" spans="1:9" x14ac:dyDescent="0.25">
      <c r="A25" s="46"/>
      <c r="B25" s="47"/>
      <c r="C25" s="47"/>
      <c r="D25" s="47"/>
      <c r="E25" s="47"/>
      <c r="F25" s="47"/>
      <c r="G25" s="47"/>
      <c r="H25" s="47"/>
      <c r="I25" s="202"/>
    </row>
    <row r="26" spans="1:9" x14ac:dyDescent="0.25">
      <c r="A26" s="46"/>
      <c r="B26" s="47"/>
      <c r="C26" s="203"/>
      <c r="D26" s="58"/>
      <c r="E26" s="47"/>
      <c r="F26" s="47"/>
      <c r="G26" s="203"/>
      <c r="H26" s="47"/>
      <c r="I26" s="202"/>
    </row>
    <row r="27" spans="1:9" x14ac:dyDescent="0.25">
      <c r="A27" s="46"/>
      <c r="B27" s="47"/>
      <c r="C27" s="49">
        <f>SL_350!$D$34</f>
        <v>100</v>
      </c>
      <c r="D27" s="203"/>
      <c r="E27" s="47"/>
      <c r="F27" s="51">
        <f>SL_350!$G$34</f>
        <v>100</v>
      </c>
      <c r="G27" s="203"/>
      <c r="H27" s="47"/>
      <c r="I27" s="202"/>
    </row>
    <row r="28" spans="1:9" x14ac:dyDescent="0.25">
      <c r="A28" s="46"/>
      <c r="B28" s="47"/>
      <c r="C28" s="47"/>
      <c r="D28" s="47"/>
      <c r="E28" s="47"/>
      <c r="F28" s="58"/>
      <c r="G28" s="47"/>
      <c r="H28" s="47"/>
      <c r="I28" s="202"/>
    </row>
    <row r="29" spans="1:9" x14ac:dyDescent="0.25">
      <c r="A29" s="46"/>
      <c r="B29" s="47"/>
      <c r="C29" s="47"/>
      <c r="D29" s="47"/>
      <c r="E29" s="203"/>
      <c r="F29" s="58"/>
      <c r="G29" s="47"/>
      <c r="H29" s="47"/>
      <c r="I29" s="202"/>
    </row>
    <row r="30" spans="1:9" x14ac:dyDescent="0.25">
      <c r="A30" s="46"/>
      <c r="B30" s="47"/>
      <c r="C30" s="47"/>
      <c r="D30" s="47"/>
      <c r="E30" s="58">
        <f>SL_350!$F$36</f>
        <v>0</v>
      </c>
      <c r="F30" s="47"/>
      <c r="G30" s="47"/>
      <c r="H30" s="47"/>
      <c r="I30" s="202"/>
    </row>
    <row r="31" spans="1:9" x14ac:dyDescent="0.25">
      <c r="A31" s="44"/>
      <c r="B31" s="8"/>
      <c r="C31" s="8"/>
      <c r="D31" s="8"/>
      <c r="E31" s="8"/>
      <c r="F31" s="8"/>
      <c r="G31" s="8"/>
      <c r="H31" s="8"/>
      <c r="I31" s="7"/>
    </row>
    <row r="32" spans="1:9" x14ac:dyDescent="0.25">
      <c r="A32" s="44"/>
      <c r="B32" s="8"/>
      <c r="C32" s="8"/>
      <c r="D32" s="8"/>
      <c r="E32" s="8"/>
      <c r="F32" s="8"/>
      <c r="G32" s="8"/>
      <c r="H32" s="8"/>
      <c r="I32" s="7"/>
    </row>
    <row r="33" spans="1:9" x14ac:dyDescent="0.25">
      <c r="A33" s="44"/>
      <c r="B33" s="8"/>
      <c r="C33" s="8"/>
      <c r="D33" s="8"/>
      <c r="E33" s="8"/>
      <c r="F33" s="8"/>
      <c r="G33" s="8"/>
      <c r="H33" s="8"/>
      <c r="I33" s="7"/>
    </row>
    <row r="34" spans="1:9" x14ac:dyDescent="0.25">
      <c r="A34" s="44"/>
      <c r="B34" s="8"/>
      <c r="C34" s="8"/>
      <c r="D34" s="8"/>
      <c r="E34" s="8"/>
      <c r="F34" s="8"/>
      <c r="G34" s="8"/>
      <c r="H34" s="8"/>
      <c r="I34" s="7"/>
    </row>
    <row r="35" spans="1:9" x14ac:dyDescent="0.25">
      <c r="A35" s="44"/>
      <c r="B35" s="8"/>
      <c r="C35" s="8"/>
      <c r="D35" s="8"/>
      <c r="E35" s="8"/>
      <c r="F35" s="8"/>
      <c r="G35" s="8"/>
      <c r="H35" s="8"/>
      <c r="I35" s="7"/>
    </row>
    <row r="36" spans="1:9" x14ac:dyDescent="0.25">
      <c r="A36" s="44"/>
      <c r="B36" s="8"/>
      <c r="C36" s="8"/>
      <c r="D36" s="8"/>
      <c r="E36" s="8"/>
      <c r="F36" s="8"/>
      <c r="G36" s="8"/>
      <c r="H36" s="8"/>
      <c r="I36" s="7"/>
    </row>
    <row r="37" spans="1:9" x14ac:dyDescent="0.25">
      <c r="A37" s="44"/>
      <c r="B37" s="8"/>
      <c r="C37" s="8"/>
      <c r="D37" s="8"/>
      <c r="E37" s="8"/>
      <c r="F37" s="8"/>
      <c r="G37" s="8"/>
      <c r="H37" s="8"/>
      <c r="I37" s="7"/>
    </row>
    <row r="38" spans="1:9" x14ac:dyDescent="0.25">
      <c r="A38" s="44"/>
      <c r="B38" s="8"/>
      <c r="C38" s="8"/>
      <c r="D38" s="8"/>
      <c r="E38" s="8"/>
      <c r="F38" s="8"/>
      <c r="G38" s="8"/>
      <c r="H38" s="8"/>
      <c r="I38" s="7"/>
    </row>
    <row r="39" spans="1:9" ht="15.75" thickBot="1" x14ac:dyDescent="0.3">
      <c r="A39" s="44"/>
      <c r="B39" s="8"/>
      <c r="C39" s="8"/>
      <c r="D39" s="8"/>
      <c r="E39" s="8"/>
      <c r="F39" s="8"/>
      <c r="G39" s="8"/>
      <c r="H39" s="8"/>
      <c r="I39" s="7"/>
    </row>
    <row r="40" spans="1:9" x14ac:dyDescent="0.25">
      <c r="A40" s="44"/>
      <c r="B40" s="8"/>
      <c r="C40" s="183" t="str">
        <f>SL_350!V65</f>
        <v>STANDARDNÍ VEDENÍ (SL) 350</v>
      </c>
      <c r="D40" s="184"/>
      <c r="E40" s="184"/>
      <c r="F40" s="184"/>
      <c r="G40" s="184"/>
      <c r="H40" s="184"/>
      <c r="I40" s="185"/>
    </row>
    <row r="41" spans="1:9" ht="15.75" thickBot="1" x14ac:dyDescent="0.3">
      <c r="A41" s="44"/>
      <c r="B41" s="8"/>
      <c r="C41" s="191"/>
      <c r="D41" s="192"/>
      <c r="E41" s="192"/>
      <c r="F41" s="192"/>
      <c r="G41" s="192"/>
      <c r="H41" s="192"/>
      <c r="I41" s="193"/>
    </row>
    <row r="42" spans="1:9" ht="15.75" thickBot="1" x14ac:dyDescent="0.3">
      <c r="A42" s="44"/>
      <c r="B42" s="8"/>
      <c r="C42" s="206" t="str">
        <f>SL_350!AG106</f>
        <v>Umístění motoru</v>
      </c>
      <c r="D42" s="207"/>
      <c r="E42" s="183" t="str">
        <f>SL_350!AG107</f>
        <v>Na levé straně</v>
      </c>
      <c r="F42" s="184"/>
      <c r="G42" s="185"/>
      <c r="H42" s="208"/>
      <c r="I42" s="208"/>
    </row>
    <row r="43" spans="1:9" ht="15.75" thickBot="1" x14ac:dyDescent="0.3">
      <c r="A43" s="44"/>
      <c r="B43" s="8"/>
      <c r="C43" s="209"/>
      <c r="D43" s="210"/>
      <c r="E43" s="191"/>
      <c r="F43" s="192"/>
      <c r="G43" s="193"/>
      <c r="H43" s="208"/>
      <c r="I43" s="208"/>
    </row>
    <row r="44" spans="1:9" ht="15.75" thickBot="1" x14ac:dyDescent="0.3">
      <c r="A44" s="44"/>
      <c r="B44" s="8"/>
      <c r="C44" s="206" t="str">
        <f>SL_350!$R$61</f>
        <v>Sestavil:</v>
      </c>
      <c r="D44" s="207"/>
      <c r="E44" s="211"/>
      <c r="F44" s="211"/>
      <c r="G44" s="211"/>
      <c r="H44" s="208"/>
      <c r="I44" s="208"/>
    </row>
    <row r="45" spans="1:9" ht="15.75" thickBot="1" x14ac:dyDescent="0.3">
      <c r="A45" s="44"/>
      <c r="B45" s="8"/>
      <c r="C45" s="209"/>
      <c r="D45" s="210"/>
      <c r="E45" s="211"/>
      <c r="F45" s="211"/>
      <c r="G45" s="211"/>
      <c r="H45" s="208"/>
      <c r="I45" s="208"/>
    </row>
    <row r="46" spans="1:9" ht="15.75" thickBot="1" x14ac:dyDescent="0.3">
      <c r="A46" s="44"/>
      <c r="B46" s="8"/>
      <c r="C46" s="206" t="str">
        <f>SL_350!$T$61</f>
        <v>Upravil:</v>
      </c>
      <c r="D46" s="207"/>
      <c r="E46" s="211"/>
      <c r="F46" s="211"/>
      <c r="G46" s="211"/>
      <c r="H46" s="208"/>
      <c r="I46" s="208"/>
    </row>
    <row r="47" spans="1:9" ht="15.75" thickBot="1" x14ac:dyDescent="0.3">
      <c r="A47" s="44"/>
      <c r="B47" s="8"/>
      <c r="C47" s="209"/>
      <c r="D47" s="210"/>
      <c r="E47" s="211"/>
      <c r="F47" s="211"/>
      <c r="G47" s="211"/>
      <c r="H47" s="208"/>
      <c r="I47" s="208"/>
    </row>
    <row r="48" spans="1:9" ht="15.75" thickBot="1" x14ac:dyDescent="0.3">
      <c r="A48" s="44"/>
      <c r="B48" s="8"/>
      <c r="C48" s="206" t="str">
        <f>SL_350!$Z$61</f>
        <v>Datum:</v>
      </c>
      <c r="D48" s="207"/>
      <c r="E48" s="212"/>
      <c r="F48" s="212"/>
      <c r="G48" s="212"/>
      <c r="H48" s="208"/>
      <c r="I48" s="208"/>
    </row>
    <row r="49" spans="1:9" ht="15.75" thickBot="1" x14ac:dyDescent="0.3">
      <c r="A49" s="190"/>
      <c r="B49" s="1"/>
      <c r="C49" s="209"/>
      <c r="D49" s="210"/>
      <c r="E49" s="212"/>
      <c r="F49" s="212"/>
      <c r="G49" s="212"/>
      <c r="H49" s="208"/>
      <c r="I49" s="208"/>
    </row>
  </sheetData>
  <sheetProtection password="996F" sheet="1" objects="1" selectLockedCells="1"/>
  <mergeCells count="12">
    <mergeCell ref="C48:D49"/>
    <mergeCell ref="E48:G49"/>
    <mergeCell ref="I6:I9"/>
    <mergeCell ref="I14:I17"/>
    <mergeCell ref="C40:I41"/>
    <mergeCell ref="C42:D43"/>
    <mergeCell ref="E42:G43"/>
    <mergeCell ref="H42:I49"/>
    <mergeCell ref="C44:D45"/>
    <mergeCell ref="E44:G45"/>
    <mergeCell ref="C46:D47"/>
    <mergeCell ref="E46:G4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SL_350</vt:lpstr>
      <vt:lpstr>SL_350_SW-R</vt:lpstr>
      <vt:lpstr>SL_350_SW-L</vt:lpstr>
      <vt:lpstr>SL_350!Oblast_tisku</vt:lpstr>
    </vt:vector>
  </TitlesOfParts>
  <Company>Loading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Kasal, Jaroslav</dc:creator>
  <cp:lastModifiedBy>Kasal, Jaroslav</cp:lastModifiedBy>
  <dcterms:created xsi:type="dcterms:W3CDTF">2019-11-08T12:35:49Z</dcterms:created>
  <dcterms:modified xsi:type="dcterms:W3CDTF">2019-11-08T12:35:49Z</dcterms:modified>
</cp:coreProperties>
</file>