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8" yWindow="312" windowWidth="22692" windowHeight="9276"/>
  </bookViews>
  <sheets>
    <sheet name="general" sheetId="1" r:id="rId1"/>
    <sheet name="SW-R" sheetId="2" r:id="rId2"/>
    <sheet name="SW-L" sheetId="3" r:id="rId3"/>
  </sheets>
  <definedNames>
    <definedName name="_xlnm.Print_Area" localSheetId="0">general!$A$1:$AB$69</definedName>
  </definedNames>
  <calcPr calcId="145621"/>
</workbook>
</file>

<file path=xl/calcChain.xml><?xml version="1.0" encoding="utf-8"?>
<calcChain xmlns="http://schemas.openxmlformats.org/spreadsheetml/2006/main">
  <c r="F27" i="3" l="1"/>
  <c r="B15" i="3"/>
  <c r="F27" i="2"/>
  <c r="B15" i="2"/>
  <c r="AL46" i="1"/>
  <c r="AL43" i="1"/>
  <c r="F31" i="1"/>
  <c r="B22" i="1"/>
  <c r="T21" i="1"/>
  <c r="B16" i="1"/>
  <c r="O12" i="1"/>
  <c r="AG5" i="1"/>
  <c r="AE1" i="1"/>
  <c r="AG119" i="1" s="1"/>
  <c r="H9" i="1" s="1"/>
  <c r="AG7" i="1" l="1"/>
  <c r="AG13" i="1"/>
  <c r="AG2" i="1"/>
  <c r="AG27" i="1"/>
  <c r="AG30" i="1"/>
  <c r="AG33" i="1"/>
  <c r="R60" i="1" s="1"/>
  <c r="AG44" i="1"/>
  <c r="AG46" i="1"/>
  <c r="AG55" i="1"/>
  <c r="AG60" i="1"/>
  <c r="AG64" i="1"/>
  <c r="AG67" i="1"/>
  <c r="AG71" i="1"/>
  <c r="AG75" i="1"/>
  <c r="AG79" i="1"/>
  <c r="AG85" i="1"/>
  <c r="AG89" i="1"/>
  <c r="AG93" i="1"/>
  <c r="AG97" i="1"/>
  <c r="AG103" i="1"/>
  <c r="AG108" i="1"/>
  <c r="E42" i="2" s="1"/>
  <c r="AG115" i="1"/>
  <c r="AG121" i="1"/>
  <c r="AG3" i="1"/>
  <c r="H3" i="1" s="1"/>
  <c r="AG4" i="1"/>
  <c r="H5" i="1" s="1"/>
  <c r="AG8" i="1"/>
  <c r="O5" i="1"/>
  <c r="AG14" i="1"/>
  <c r="AG16" i="1"/>
  <c r="AG21" i="1"/>
  <c r="AG22" i="1"/>
  <c r="AG31" i="1"/>
  <c r="AG36" i="1"/>
  <c r="AG38" i="1"/>
  <c r="AG42" i="1"/>
  <c r="AG45" i="1"/>
  <c r="AG66" i="1"/>
  <c r="AG68" i="1"/>
  <c r="AG72" i="1"/>
  <c r="AG76" i="1"/>
  <c r="AG80" i="1"/>
  <c r="AG86" i="1"/>
  <c r="AG90" i="1"/>
  <c r="AG94" i="1"/>
  <c r="AG99" i="1"/>
  <c r="AG104" i="1"/>
  <c r="AG110" i="1"/>
  <c r="I22" i="1" s="1"/>
  <c r="AG116" i="1"/>
  <c r="AG122" i="1"/>
  <c r="AG17" i="1"/>
  <c r="AG26" i="1"/>
  <c r="AG28" i="1"/>
  <c r="AG43" i="1"/>
  <c r="AG50" i="1"/>
  <c r="AG52" i="1"/>
  <c r="AG56" i="1"/>
  <c r="AG62" i="1"/>
  <c r="C58" i="1" s="1"/>
  <c r="AG69" i="1"/>
  <c r="AG73" i="1"/>
  <c r="AG77" i="1"/>
  <c r="AG81" i="1"/>
  <c r="AG87" i="1"/>
  <c r="AG91" i="1"/>
  <c r="AG95" i="1"/>
  <c r="AG101" i="1"/>
  <c r="AG106" i="1"/>
  <c r="AG112" i="1"/>
  <c r="AG118" i="1"/>
  <c r="J21" i="1" s="1"/>
  <c r="AG6" i="1"/>
  <c r="Q9" i="1" s="1"/>
  <c r="AG15" i="1"/>
  <c r="AG23" i="1"/>
  <c r="AG29" i="1"/>
  <c r="AG32" i="1"/>
  <c r="R59" i="1" s="1"/>
  <c r="AG37" i="1"/>
  <c r="AG39" i="1"/>
  <c r="AG49" i="1"/>
  <c r="AG51" i="1"/>
  <c r="I26" i="1" s="1"/>
  <c r="AG57" i="1"/>
  <c r="AG61" i="1"/>
  <c r="AG63" i="1"/>
  <c r="AG65" i="1"/>
  <c r="C59" i="1" s="1"/>
  <c r="AG70" i="1"/>
  <c r="AG74" i="1"/>
  <c r="AG78" i="1"/>
  <c r="AG82" i="1"/>
  <c r="AG88" i="1"/>
  <c r="AG92" i="1"/>
  <c r="AG96" i="1"/>
  <c r="AG102" i="1"/>
  <c r="AG107" i="1"/>
  <c r="E42" i="3" s="1"/>
  <c r="AG113" i="1"/>
  <c r="B55" i="1" s="1"/>
  <c r="I31" i="1" l="1"/>
  <c r="B31" i="1"/>
  <c r="O7" i="1"/>
  <c r="M61" i="1"/>
  <c r="C60" i="1"/>
  <c r="H7" i="1"/>
  <c r="AA68" i="1"/>
  <c r="H63" i="1"/>
  <c r="M63" i="1"/>
  <c r="C66" i="1"/>
  <c r="V63" i="1"/>
  <c r="G57" i="1"/>
  <c r="C57" i="1"/>
  <c r="Y32" i="1"/>
  <c r="H61" i="1"/>
  <c r="H62" i="1"/>
  <c r="AB61" i="1"/>
  <c r="I28" i="1"/>
  <c r="R50" i="1"/>
  <c r="AA61" i="1"/>
  <c r="L38" i="1"/>
  <c r="Y27" i="1"/>
  <c r="H64" i="1"/>
  <c r="H59" i="1"/>
  <c r="I23" i="1"/>
  <c r="Z68" i="1"/>
  <c r="B53" i="1"/>
  <c r="G60" i="1"/>
  <c r="X61" i="1"/>
  <c r="C64" i="1"/>
  <c r="B54" i="1"/>
  <c r="R48" i="1"/>
  <c r="C42" i="3"/>
  <c r="C42" i="2"/>
  <c r="V61" i="1"/>
  <c r="C63" i="1"/>
  <c r="I25" i="1"/>
  <c r="T61" i="1"/>
  <c r="C62" i="1"/>
  <c r="X46" i="1"/>
  <c r="Y22" i="1"/>
  <c r="B50" i="1"/>
  <c r="H58" i="1"/>
  <c r="B56" i="1"/>
  <c r="Q2" i="1"/>
  <c r="V68" i="1"/>
  <c r="V65" i="1"/>
  <c r="M57" i="1"/>
  <c r="R46" i="1"/>
  <c r="Z61" i="1"/>
  <c r="C65" i="1"/>
  <c r="B52" i="1"/>
  <c r="R57" i="1"/>
  <c r="E37" i="1"/>
  <c r="P58" i="1"/>
  <c r="B39" i="1"/>
  <c r="Q31" i="1"/>
  <c r="R55" i="1"/>
  <c r="R53" i="1"/>
  <c r="R58" i="1"/>
  <c r="R61" i="1"/>
  <c r="C61" i="1"/>
  <c r="R52" i="1"/>
  <c r="D12" i="1"/>
  <c r="C44" i="3" l="1"/>
  <c r="C44" i="2"/>
  <c r="B6" i="3"/>
  <c r="P64" i="1"/>
  <c r="O11" i="1" s="1"/>
  <c r="T15" i="1"/>
  <c r="B6" i="2"/>
  <c r="L64" i="1"/>
  <c r="J68" i="1" s="1"/>
  <c r="P60" i="1"/>
  <c r="L59" i="1"/>
  <c r="O10" i="1" s="1"/>
  <c r="C40" i="3"/>
  <c r="C40" i="2"/>
  <c r="C48" i="3"/>
  <c r="C48" i="2"/>
  <c r="C46" i="3"/>
  <c r="C46" i="2"/>
  <c r="E42" i="1"/>
  <c r="H69" i="1" l="1"/>
  <c r="N68" i="1"/>
  <c r="I67" i="1"/>
  <c r="O66" i="1"/>
  <c r="K66" i="1"/>
  <c r="I65" i="1"/>
  <c r="G69" i="1"/>
  <c r="M68" i="1"/>
  <c r="H68" i="1"/>
  <c r="O67" i="1"/>
  <c r="G67" i="1"/>
  <c r="N66" i="1"/>
  <c r="H66" i="1"/>
  <c r="G65" i="1"/>
  <c r="L69" i="1"/>
  <c r="L68" i="1"/>
  <c r="G68" i="1"/>
  <c r="N67" i="1"/>
  <c r="M66" i="1"/>
  <c r="G66" i="1"/>
  <c r="O65" i="1"/>
  <c r="K69" i="1"/>
  <c r="O68" i="1"/>
  <c r="K68" i="1"/>
  <c r="M67" i="1"/>
  <c r="P66" i="1"/>
  <c r="P68" i="1" s="1"/>
  <c r="L66" i="1"/>
  <c r="M65" i="1"/>
  <c r="Q13" i="1"/>
  <c r="R14" i="1"/>
  <c r="P67" i="1" l="1"/>
</calcChain>
</file>

<file path=xl/sharedStrings.xml><?xml version="1.0" encoding="utf-8"?>
<sst xmlns="http://schemas.openxmlformats.org/spreadsheetml/2006/main" count="889" uniqueCount="797">
  <si>
    <t>č.jaz.</t>
  </si>
  <si>
    <t>SVYHLEDAT</t>
  </si>
  <si>
    <t>CZ</t>
  </si>
  <si>
    <t>EN</t>
  </si>
  <si>
    <t>DE</t>
  </si>
  <si>
    <t>PL</t>
  </si>
  <si>
    <t>FR</t>
  </si>
  <si>
    <t>NL</t>
  </si>
  <si>
    <t>EST</t>
  </si>
  <si>
    <t>FIN</t>
  </si>
  <si>
    <t>RU</t>
  </si>
  <si>
    <t>Jazyk</t>
  </si>
  <si>
    <t>číslo</t>
  </si>
  <si>
    <t xml:space="preserve">Zvolit jazyk: </t>
  </si>
  <si>
    <t>Select a language:</t>
  </si>
  <si>
    <t>Wählen Sie eine Sprache</t>
  </si>
  <si>
    <t>Wybierz język</t>
  </si>
  <si>
    <t>Sélectionner une langue</t>
  </si>
  <si>
    <t>Kies een taal:</t>
  </si>
  <si>
    <t>Valige keel</t>
  </si>
  <si>
    <t>Valitse kieli:</t>
  </si>
  <si>
    <t>Выберите язык:</t>
  </si>
  <si>
    <t>Zvol jazyk:</t>
  </si>
  <si>
    <t>mm</t>
  </si>
  <si>
    <t>Šířka otvoru</t>
  </si>
  <si>
    <t>Opening width</t>
  </si>
  <si>
    <t>Lichte Breite</t>
  </si>
  <si>
    <t>Szerokość otworu</t>
  </si>
  <si>
    <t>LARGEUR DE BAIE</t>
  </si>
  <si>
    <t>Dagmaat breedte</t>
  </si>
  <si>
    <t>Ava laius</t>
  </si>
  <si>
    <t>Oviaukon leveys</t>
  </si>
  <si>
    <t>Ширина проема</t>
  </si>
  <si>
    <t>W max 6000 mm; H max 5000 mm; max. 23 m2</t>
  </si>
  <si>
    <t>Výška otvoru</t>
  </si>
  <si>
    <t>Opening height</t>
  </si>
  <si>
    <t>Lichte Höhe</t>
  </si>
  <si>
    <t>Wysokość otworu</t>
  </si>
  <si>
    <t>HAUTEUR DE BAIE</t>
  </si>
  <si>
    <t>Dagmaat hoogte</t>
  </si>
  <si>
    <t>Ava kõrgus</t>
  </si>
  <si>
    <t>Oviaukon korkeus</t>
  </si>
  <si>
    <t>Высота проема</t>
  </si>
  <si>
    <t>Wählen Sie eine Sprache:</t>
  </si>
  <si>
    <t>POHLED ZEVNITŘ</t>
  </si>
  <si>
    <t>INTERIOR VIEW</t>
  </si>
  <si>
    <t>INNENANSICHT</t>
  </si>
  <si>
    <t>Widok od środka</t>
  </si>
  <si>
    <t>VUE INTERIEURE</t>
  </si>
  <si>
    <t>BINNENAANZICHT</t>
  </si>
  <si>
    <t>seestvaade</t>
  </si>
  <si>
    <t>SISÄLTÄPÄIN KUVATTUNA</t>
  </si>
  <si>
    <t>Вид изнутри</t>
  </si>
  <si>
    <t>Wybierz język:</t>
  </si>
  <si>
    <t>ŘEZ A-A</t>
  </si>
  <si>
    <t>SECTION A-A</t>
  </si>
  <si>
    <t>DURCHSCHNITT A-A</t>
  </si>
  <si>
    <t>Przekrój A-A</t>
  </si>
  <si>
    <t>COUPE A-A</t>
  </si>
  <si>
    <t>DOORSNEDE A-A</t>
  </si>
  <si>
    <t>vaade A-A</t>
  </si>
  <si>
    <t>LEIKKAUS A-A</t>
  </si>
  <si>
    <t>Разрез А-А</t>
  </si>
  <si>
    <t>Sélectionner une langue:</t>
  </si>
  <si>
    <t>ŘEZ B-B</t>
  </si>
  <si>
    <t>SECTION B-B</t>
  </si>
  <si>
    <t>DURCHSCHNITT B-B</t>
  </si>
  <si>
    <t>Przekrój B-B</t>
  </si>
  <si>
    <t>COUPE B-B</t>
  </si>
  <si>
    <t>DOORSNEDE B-B</t>
  </si>
  <si>
    <t>VAADE B-B</t>
  </si>
  <si>
    <t>LEIKKAUS B-B</t>
  </si>
  <si>
    <t>Разрез B-B</t>
  </si>
  <si>
    <t>POZNÁMKA:</t>
  </si>
  <si>
    <t>NOTE:</t>
  </si>
  <si>
    <t>ACHTUNG:</t>
  </si>
  <si>
    <t>Uwaga:</t>
  </si>
  <si>
    <t>Remarque:</t>
  </si>
  <si>
    <t>OPMERKING:</t>
  </si>
  <si>
    <t>MÄRKUS</t>
  </si>
  <si>
    <t>HUOMAUTUS:</t>
  </si>
  <si>
    <t>ПРИМЕЧАНИЯ:</t>
  </si>
  <si>
    <t>D=</t>
  </si>
  <si>
    <t>Y=</t>
  </si>
  <si>
    <t>VEDENÍ PRO NÍZKÝ PŘEKLAD (LL-CE)</t>
  </si>
  <si>
    <t>LOW LIFT SYSTEM CABLES INSIDE  (LL-CE)</t>
  </si>
  <si>
    <t>NIEDRIGSTURZ BESCHLAG (LL-CE)</t>
  </si>
  <si>
    <t>PROWADZENIE DLA NIESKIEGO NADPROŻA (LL-CE)</t>
  </si>
  <si>
    <t>LEVEE REDUITE (LL-CE)</t>
  </si>
  <si>
    <t>LAAG PLAFONDSYSTEEM KABELS BINNENDOOR (LL-CE)</t>
  </si>
  <si>
    <t>Madaltõste (LL-CE)</t>
  </si>
  <si>
    <t>MATALANOSTO (LL-CE)</t>
  </si>
  <si>
    <t>НИЗКИЙ ПОДЪЕМ (LL-CE)</t>
  </si>
  <si>
    <t>PRUŽINY NAD PŘEKLADEM</t>
  </si>
  <si>
    <t>springs above lintel</t>
  </si>
  <si>
    <t>Federn oberhalb des Sturzes</t>
  </si>
  <si>
    <t>SPRĘŻYNY NAD NADPROŻEM</t>
  </si>
  <si>
    <t>RESSORTS AVANTS DEPORTES DU LINTEAU</t>
  </si>
  <si>
    <t>verenpakket boven latei</t>
  </si>
  <si>
    <t>Vedrud ava kohal</t>
  </si>
  <si>
    <t>jouset ovipalkkin päällä</t>
  </si>
  <si>
    <t>нижнее расположение вала</t>
  </si>
  <si>
    <t>pro HL&gt;600 a HL&lt;=1200</t>
  </si>
  <si>
    <t>for HL&gt;600 and HL&lt;=1200</t>
  </si>
  <si>
    <t>pro HL&gt;600 und HL&lt;=1200</t>
  </si>
  <si>
    <t>pro HL&gt;600 i HL&lt;=1200</t>
  </si>
  <si>
    <t>pro HL&gt;600 et HL&lt;=1200</t>
  </si>
  <si>
    <t>van HL&gt;600 tot HL&lt;=1200</t>
  </si>
  <si>
    <t>HL&gt;600 ja HL&lt;=1200</t>
  </si>
  <si>
    <t>pro HL&gt;600 ja HL&lt;=1200</t>
  </si>
  <si>
    <t>при высоте подъема &gt; 600 и &lt;= 1200</t>
  </si>
  <si>
    <t>PANEL 40mm</t>
  </si>
  <si>
    <t>SECTION THICKNESS 40 mm</t>
  </si>
  <si>
    <t>Paneel 40 mm</t>
  </si>
  <si>
    <t>Panel 40 mm</t>
  </si>
  <si>
    <t>40 mm PANNEAU</t>
  </si>
  <si>
    <t>PANEEL 40 mm</t>
  </si>
  <si>
    <t>Lamelli 40mm</t>
  </si>
  <si>
    <t xml:space="preserve">ТОЛЩИНА СЕКЦИИ 40мм </t>
  </si>
  <si>
    <t>Max. W x H 5000x5000, max. 24 m2 (300 kg)</t>
  </si>
  <si>
    <t>Max. W x H 4000x4000</t>
  </si>
  <si>
    <t>макс. ШхВ (WxH) 5000x5000, max. 24 m2 (300 kg)</t>
  </si>
  <si>
    <t>*</t>
  </si>
  <si>
    <t>Montáž na cihlové zdivo</t>
  </si>
  <si>
    <t>mounting on brickwork</t>
  </si>
  <si>
    <t>Montage auf Mauerwerk und Ziegel</t>
  </si>
  <si>
    <t>montaż do muru i cegły</t>
  </si>
  <si>
    <t>montage sur béton</t>
  </si>
  <si>
    <t>montage op beton</t>
  </si>
  <si>
    <t>Paigaldus kiviseinale</t>
  </si>
  <si>
    <t>asennus tiiliseinän</t>
  </si>
  <si>
    <t>монтаж на бетон</t>
  </si>
  <si>
    <t>Montáž na porobeton</t>
  </si>
  <si>
    <t>mounting on cellular concrete</t>
  </si>
  <si>
    <t>Montage auf Porenbeton oder Gasbeton</t>
  </si>
  <si>
    <t>montaż do betonu porowatego</t>
  </si>
  <si>
    <t>montage sur parpaing creux</t>
  </si>
  <si>
    <t>montage op gasbeton</t>
  </si>
  <si>
    <t>Paigaldus poorbetoonile</t>
  </si>
  <si>
    <t>asennus betoniin</t>
  </si>
  <si>
    <t>монтаж на газобетон</t>
  </si>
  <si>
    <t>Montáž na opláštění</t>
  </si>
  <si>
    <t>mounting on insulated cladding</t>
  </si>
  <si>
    <t>Montage auf ISO-Trapezblechfassade</t>
  </si>
  <si>
    <t>montaż do płaszcza</t>
  </si>
  <si>
    <t>montage sur structure métallique  (a fournir par le charpentier)</t>
  </si>
  <si>
    <t>montage op binnendooscontructie met damwandbeplating</t>
  </si>
  <si>
    <t>Paigaldus soojustatud seinapaneelile</t>
  </si>
  <si>
    <t>asennus eristettyyn seinäelementtiin</t>
  </si>
  <si>
    <t>монтаж на металлокаркас</t>
  </si>
  <si>
    <t>PRÁCE, KTERÉ MUSÍ BÝT PROVEDENY ZÁKAZNÍKEM PŘED MONTÁŽÍ, POKUD NEBYLO DOHODNUTO JINAK</t>
  </si>
  <si>
    <t>WORK TO BE CARRIED OUT BY CUSTOMER, UNLESS IN ADVANCE OTHERWISE IS AGREED IN WRITING.</t>
  </si>
  <si>
    <t>VORBEREITUNGEN UND ARBEITEN DIE VOM AUFTRAGGEBER ZU ERBRINGEN SIND, AUßER BEI SCHRIFTLICHER VEREINBARUNG IM VORAUS:</t>
  </si>
  <si>
    <t>PRACE, KTÓRE MUSZĄ ZOSTAĆ WYKONANE PRZEZ KLIENTA PRZED WYKONANIEM MONTAŻU, O ILE NIE UZGODNIONO INACZEJ.</t>
  </si>
  <si>
    <t>APPROVISIONNEMENT &amp; TRAVAUX INCOMBANT AU MAITRE D'OUVRAGE  (sauf accord contraire)</t>
  </si>
  <si>
    <t xml:space="preserve">VOORZIENINGEN EN WERKZAAMHEDEN DOOR OPDRACHTGEVER TE VERZORGEN, TENZIJ VOORAF SCHRIFTELIJK ANDERS IS OVEREENGEKOMEN </t>
  </si>
  <si>
    <t>Kliendi poolt tehtavad ettevalmistustööd v.a juhul kui pole kirjalikult teistmoodi kokku lepitud</t>
  </si>
  <si>
    <t xml:space="preserve">ASIAKKAAN TEHTÄVÄT TYÖT, ELLEI ETUKÄTEEN KIRJALLISESTI MUUTOIN SOVITTU </t>
  </si>
  <si>
    <t>МАТЕРИАЛЫ И ПРОВЕДЕНИЕ РАБОТ ОБЕСПЕЧИВАЮТСЯ КЛИЕНТОМ,ЕСЛИ ИНОЕ НЕ ОГОВОРЕНО ЗАРАНЕЕ В ПИСЬМЕННОЙ ФОРМЕ</t>
  </si>
  <si>
    <t>Konstrukční:</t>
  </si>
  <si>
    <t>Constructional :</t>
  </si>
  <si>
    <t>Bauseits:</t>
  </si>
  <si>
    <t>Konstrukcyjne:</t>
  </si>
  <si>
    <t xml:space="preserve">Structure: </t>
  </si>
  <si>
    <t>Bouwkundig:</t>
  </si>
  <si>
    <t>Ehituslikud:</t>
  </si>
  <si>
    <t xml:space="preserve">
Rakenteellinen:</t>
  </si>
  <si>
    <t>Конструктивно:</t>
  </si>
  <si>
    <t>Příprava montážních ploch pro vedení vrat a pro pružiny.</t>
  </si>
  <si>
    <t>Supply and fix mounting frame and mounting surfaces for the rails and the spring packet in case of aerated concrete or sandwichpanels etc.</t>
  </si>
  <si>
    <t>Ein stählerner Montagerahmen zur Befestigung der vertikalen Laufschienen und des Federpakets bei nicht tragfähigen Flächen wie z.B. Porenbeton, Gasbeton, Isolationspanelen u.s.w..</t>
  </si>
  <si>
    <t>Przygotowanie powierzchni montażowych dla prowadzenia bramy oraz dla sprężyn.</t>
  </si>
  <si>
    <t>Préparation de la structure de montage des rails de guidage et des ressorts pour une pose sur panneaux isolants</t>
  </si>
  <si>
    <t>Een stalen montageframe voor de bevestiging van de verticale looprails en het verenpakket bij niet dragende montagevlakken, zoals gasbeton, isolatiepanelen, sandwichpanelen enz.</t>
  </si>
  <si>
    <t>Avaettevalmistusraami tarnimine ja paigaldus siinide ja vedrude kinnituseks</t>
  </si>
  <si>
    <t>Toimittaa ja asentaa asennuskehyksen ja asennuspinnat kiskoille ja jousipaketille tapauksessa jossa kevytbetooni tai sandwich-paneeli jne.</t>
  </si>
  <si>
    <t>Стальная монтажная рама для установки вертикальных направляющих и пружин в случае не несущих монтажных поверхностей, таких как: газобетон, изоляционные панели, сэндвич-панели и т.д.</t>
  </si>
  <si>
    <t>Montáž vodorovného vedení může být max. 1 metr od pevné konstrukce.</t>
  </si>
  <si>
    <t>Mounting possibilities for the horizontal rails up to 1 meter above the rails must be provided.</t>
  </si>
  <si>
    <t>Befestigungsmöglichkeit für die Zwischen- und Endaufhängung der horizontalen Laufschienen bis zu max. 1 m über diesen Laufschienen.</t>
  </si>
  <si>
    <t>Montaż prowadzenia poziomego można wykonać w oddaleniu maks. 1 metra od konstrukcji stałej.</t>
  </si>
  <si>
    <t xml:space="preserve">Lorsque les possibilités de montage des rails horizontaux dépassent </t>
  </si>
  <si>
    <t>Bevestigingsmogelijkheid voor de tussen- en eindophanging van de horizontale looprails tot max. 1m boven deze looprails.</t>
  </si>
  <si>
    <t>Paigaldusruum ülalpool siini max. 1m</t>
  </si>
  <si>
    <t>Asennus mahdollisuudet vaakakiskoille enintään 1 metrin korkeudella kiskoista pitää olla mahdollista.</t>
  </si>
  <si>
    <t>Способы крепления для горизонтальных направляющих максимум до 1м над данными направляющими.</t>
  </si>
  <si>
    <t>Nezbytné montážní plochy a volný prostor dle nákresu.</t>
  </si>
  <si>
    <t>Necessary mounting surface and free room as shown.</t>
  </si>
  <si>
    <t>Benötigte Montageflächen und Freiräume gemäß Zeichnung.</t>
  </si>
  <si>
    <t>Niezbędne powierzchnie montażowe oraz wolna przestrzeń wg rysunku.</t>
  </si>
  <si>
    <t>Adapter la structure et l' espace disponible selon nos plans de réservations ci-contre</t>
  </si>
  <si>
    <t>Benodigde montagevlakken en vrije ruimtes, volgens tekening.</t>
  </si>
  <si>
    <t>Piisav paigaldusruum vastavalt lisatud joonisele</t>
  </si>
  <si>
    <t>Tarvittava kiinnityspinta ja vapaa tilaa kuvan mukaisesti.</t>
  </si>
  <si>
    <t>Необходимые монтажные поверхности и свободное пространство в соответствии с чертежом</t>
  </si>
  <si>
    <t>W=</t>
  </si>
  <si>
    <t xml:space="preserve">Elekrická příprava (pro elektricky ovládaná sekční vrata): </t>
  </si>
  <si>
    <t>Electrical supply required to be :</t>
  </si>
  <si>
    <t>Elektrisch (bei elektrisch bedienten Toren):</t>
  </si>
  <si>
    <t>Przygotowanie elektryczne (dla elektrycznie sterowanej bramy segmentowej) :</t>
  </si>
  <si>
    <t>Alimentation electrique  (pour porte motorisée) :</t>
  </si>
  <si>
    <t>Elektrisch: (bij elektrisch bediende deuren)</t>
  </si>
  <si>
    <t>Elektriliselt avatavate uste jaoks</t>
  </si>
  <si>
    <t>Sähkönsyöttö tarvittu:</t>
  </si>
  <si>
    <t>Электрика (для ворот с электрическим управлением):</t>
  </si>
  <si>
    <t>Zásuvka CEE 16 A, 5P, 400 V = zásuvka s nulovým a zemnícím vodičem</t>
  </si>
  <si>
    <t>400V/230V 3 phase neutral and earth terminating, provided by euro plug socket.</t>
  </si>
  <si>
    <t>Stromzufuhr 400V/230V mittels Eurosteckdose, 3 Phasen+0+PE max.1 meter vom Schaltkasten.</t>
  </si>
  <si>
    <t>Gniazdo CEE 16 A, 5P, 400 V = gniazdo z przewodnikiem zerowym i uziemiającym</t>
  </si>
  <si>
    <t>400V triphase T+N avec prise de raccordement CEE 16 A</t>
  </si>
  <si>
    <t xml:space="preserve">Voeding  400V/230V door middel van eurostopcontact, 3 fase+0+PE max. </t>
  </si>
  <si>
    <t>Toite vedu ajamini - 400V/230V, 3 faasi</t>
  </si>
  <si>
    <t>400V / 230V 3 vaihe+neutraali ja maadoitus tarjotuna Euro pistorasiasta.</t>
  </si>
  <si>
    <t xml:space="preserve">Питание 400V/230V посредством заземленной евророзетки, 3 фазы+0+РЕ </t>
  </si>
  <si>
    <t>Zajistit vhodnou montážní plochu pro řídící jednotku motoru 250 x 400 mm</t>
  </si>
  <si>
    <t>Provide suitable mounting surface for control panel, dimensions 250 x 400 mm</t>
  </si>
  <si>
    <t>Montagefläche für Schaltkasten, Abmessungen 250 x 400 mm</t>
  </si>
  <si>
    <t>Zapewnić odpowiednią powierzchnię montażową dla jednostki sterującej silnika 250x400</t>
  </si>
  <si>
    <t>Assurer une surface de montage adéquate pour le coffret de commande du moteur L.250 x H.400 mm</t>
  </si>
  <si>
    <t>Montagevlak t.b.v. schakelkast, afmetingen 250 x 400 mm</t>
  </si>
  <si>
    <t>Kontrolleri jaoks piisava paigaldusruumi tagamine 250x400 mm</t>
  </si>
  <si>
    <t>Tarjoa sopivan kiinnityspinnan  ohjauspaneelia varten ,mitat 250 x 400 mm</t>
  </si>
  <si>
    <t>5необходимо обеспечить монтажную поверхность для панели управления, размеры 200х400 мм</t>
  </si>
  <si>
    <t>NEZBYTNÁ MONTÁŽNÍ PLOCHA</t>
  </si>
  <si>
    <t>NECESSARY MOUNTING SURFACE</t>
  </si>
  <si>
    <t>BENÖTIGTER MONTAGEFLÄCHEN</t>
  </si>
  <si>
    <t>NIEZBĘDNA POWIERZCHNIA MONTAŻOWA</t>
  </si>
  <si>
    <t>SURFACE NECESSAIRE DE MONTAGE</t>
  </si>
  <si>
    <t>BENODIGDE MONTAGEVLAKKEN</t>
  </si>
  <si>
    <t>Vajalik paigaldusruum</t>
  </si>
  <si>
    <t>TARVITTAVA KIINNITYSPINTA</t>
  </si>
  <si>
    <t>необходимая монтажная поверхность</t>
  </si>
  <si>
    <t>DODATEČNÉ MONTÁŽNÍ PLOCHY PRO KONZOLY</t>
  </si>
  <si>
    <t>EXTRA PLANES AT WEAK SURFACES</t>
  </si>
  <si>
    <t>MONTAGEFLÄCHE FÜR DEN MOTOR</t>
  </si>
  <si>
    <t>Dodatkowych obszarach montażu konsoli</t>
  </si>
  <si>
    <t>FACILITÉ DE MONTAGE ADDITIONNEL POUR CONSOLE</t>
  </si>
  <si>
    <t>EXTRA VLAKKEN BIJ ZWAKKE ONDERGROND</t>
  </si>
  <si>
    <t>Lisaplaadid nõrgale pinnale</t>
  </si>
  <si>
    <t xml:space="preserve">LISÄ ASENNUSTILA </t>
  </si>
  <si>
    <t>металлокаркас из стальной профильной трубы</t>
  </si>
  <si>
    <t>NEZBYTNÝ VOLNÝ PROSTOR</t>
  </si>
  <si>
    <t>NECESSARY FREE ROOM</t>
  </si>
  <si>
    <t>BENÖTIGTER FREIRAUM</t>
  </si>
  <si>
    <t>niezbędne miejsce</t>
  </si>
  <si>
    <t>ESPACE LIBRE NECESSAIRE</t>
  </si>
  <si>
    <t>BENODIGDE VRIJE RUIMTE</t>
  </si>
  <si>
    <t xml:space="preserve">Vajalik vaba ruum </t>
  </si>
  <si>
    <t>TARVITTAVA VAPAA TILA</t>
  </si>
  <si>
    <t>необходимое свободное пространство</t>
  </si>
  <si>
    <t>VOLNÝ PROSTOR PRO MOTOR/ŘETĚZ.PŘEVOD</t>
  </si>
  <si>
    <t>EXTRA FREE ROOM FOR MOTOR/CHAIN</t>
  </si>
  <si>
    <t>EXTRA FREIRAUM FÜR MOTOR/KETTE</t>
  </si>
  <si>
    <t>Wolnego miejsca na silnik, napęd łańcuchowy</t>
  </si>
  <si>
    <t>ESPACE LIBRE POUR MOTEUR / CHAINE DE LEVAGE.</t>
  </si>
  <si>
    <t>EXTRA VRIJE RUIMTE BIJ MOTOR/KETTING</t>
  </si>
  <si>
    <t>Lisa vaba ruum mootorile/ketile</t>
  </si>
  <si>
    <t>LISÄTILA MOOTORIA/KETJUA VARTEN</t>
  </si>
  <si>
    <t>дополнительное свободное пространство для двигателя/подъемной цепи</t>
  </si>
  <si>
    <t>sklon podlahy</t>
  </si>
  <si>
    <t>fall of the floor</t>
  </si>
  <si>
    <t>Bodenneigung</t>
  </si>
  <si>
    <t>nachylenie podłogi</t>
  </si>
  <si>
    <t>réservations seuil béton</t>
  </si>
  <si>
    <t>vloer met waterkering</t>
  </si>
  <si>
    <t>pinna langus</t>
  </si>
  <si>
    <t>kaltevuus</t>
  </si>
  <si>
    <t>пол с водоотводом</t>
  </si>
  <si>
    <t>směrem ven</t>
  </si>
  <si>
    <t>outside</t>
  </si>
  <si>
    <t>nach aussen</t>
  </si>
  <si>
    <t>w kierunku na zewnątrz</t>
  </si>
  <si>
    <t>buitenzijde</t>
  </si>
  <si>
    <t>väljaspool</t>
  </si>
  <si>
    <t>ulkopuoli</t>
  </si>
  <si>
    <t>sklon 3%</t>
  </si>
  <si>
    <t>fall 3%</t>
  </si>
  <si>
    <t>Gefälle 3%</t>
  </si>
  <si>
    <t>nachylenie 3%</t>
  </si>
  <si>
    <t>PENTE 3%</t>
  </si>
  <si>
    <t>afschot 3%</t>
  </si>
  <si>
    <t>langus 3%</t>
  </si>
  <si>
    <t>kaltevuus 3%</t>
  </si>
  <si>
    <t>наклон 3%</t>
  </si>
  <si>
    <t>internal level</t>
  </si>
  <si>
    <t>Wasserschenkel</t>
  </si>
  <si>
    <t>niveau binnen</t>
  </si>
  <si>
    <t>Sisemine tasand</t>
  </si>
  <si>
    <t>sisäinen taso</t>
  </si>
  <si>
    <t>floor with raised</t>
  </si>
  <si>
    <t>Boden mit</t>
  </si>
  <si>
    <t xml:space="preserve">vloer met  </t>
  </si>
  <si>
    <t>põrand koos tõstetud sisetasandiga</t>
  </si>
  <si>
    <t>lattia nostetulla</t>
  </si>
  <si>
    <t>пол с наклоном 3%</t>
  </si>
  <si>
    <t>nezbytný boční prostor pro motor nebo řetězový pohon ( L nebo R )</t>
  </si>
  <si>
    <t>necessary side room for electrical- or hauling chain operation (L or R)</t>
  </si>
  <si>
    <t>Benötigter Freiraum bei Elektro- oder Haspelkettenbedienung (wahlweise L oder R)</t>
  </si>
  <si>
    <t>niezbędna przestrzeń boczna dla silnika lub napędu łańcuchowego ( L lub R )</t>
  </si>
  <si>
    <t>écoinçon minimum requis pour le moteur ou treuil a chaîne (L ou R)</t>
  </si>
  <si>
    <t>benodigde vrije ruimte voor elektrische- of ketting bediening (L of R)</t>
  </si>
  <si>
    <t>vajalik küljeruum mootori või tali puhul (L või R)</t>
  </si>
  <si>
    <t>tarvittava tila mootori- tai ketjunostolle (L tai R)</t>
  </si>
  <si>
    <t>необходимое боковое пространство для электропривода или цепного редуктора (L и R)</t>
  </si>
  <si>
    <t>montážní plocha pro řídící jednotku motoru, rozměr 250 x 400 mm</t>
  </si>
  <si>
    <t>mounting surface for control panel dimensions 250 x 400 mm</t>
  </si>
  <si>
    <t>Montagefläche für Antriebsteuerung Mass 250 x 400 mm</t>
  </si>
  <si>
    <t>powierzchnia montażowa dla jednostki sterującej silnika wymiary 250 x 400 mm</t>
  </si>
  <si>
    <t>surface de montage pour le Coffret de commande  du moteur (dimensions : L.250 x H.400 mm)</t>
  </si>
  <si>
    <t>montagevlak t.b.v. schakelkast afmetingen 250 x 400 mm</t>
  </si>
  <si>
    <t>paigalduspind 250x400 mm kontrollerile</t>
  </si>
  <si>
    <t>kiinnityspinta ohjauspaneelia varten ,mitat 250 x 400 mm</t>
  </si>
  <si>
    <t>монтажная поверхность для блока управления 250x400мм</t>
  </si>
  <si>
    <t>osa cca 1.400 až 1.500 mm od podlahy</t>
  </si>
  <si>
    <t>center line ca 1.400 -1.500 mm above floor</t>
  </si>
  <si>
    <t>Achse ca. 1.400 bis 1.500 mm vom Boden</t>
  </si>
  <si>
    <t>oś ok. 1.400 do 1.500 mm od podłogi</t>
  </si>
  <si>
    <t xml:space="preserve">axe d'env. 1 400 a 1 500 mm a compter </t>
  </si>
  <si>
    <t>hartlijn ca. 1.400 - 1.500 boven de vloer</t>
  </si>
  <si>
    <t>Keskjoon ca 1400-1500 mm põrandast</t>
  </si>
  <si>
    <t>keskiviiva ca 1,400 -1,500 mm: n korkeudella lattiasta</t>
  </si>
  <si>
    <t>осевая линия примерно 1.400-1.500 мм над уровнем пола</t>
  </si>
  <si>
    <t>zásuvka CEE 16 A, 5P, 400 V, jištěno 6 A (10 A) jističem, proudový chránič I=30 mA</t>
  </si>
  <si>
    <t>Electric outlet CEE 16 A, 5P, 400 V, protect by 6 A (10 A) circuit breaker, residual current device I=30 mA.</t>
  </si>
  <si>
    <t>Steckdose CEE 16 A, 5P, 400 V, Sicherung 6 A (10 A) mit Schutzschalter, Stromschutz  I=30 mA.</t>
  </si>
  <si>
    <t>gniazdo CEE 16 A, 5P, 400 V, ochrona za pomocą bezpiecznika 6A (10A), wyłącznik prądowy l=30 mA</t>
  </si>
  <si>
    <t>prise CEE 16 A, 5P, 400 V, assuré par un disjoncteur 6 A (10 A),  disjoncteur I=30 mA</t>
  </si>
  <si>
    <t xml:space="preserve">Eurostopcontact CEE 16 A, 5P, 400V, afgezekerd met 6A (10A), Overstroombeveiliging I=30mA. </t>
  </si>
  <si>
    <t>jõupesa CEE 16A, 5P, 400V koos 6A (10A) kaitsmega. Rikkevookukaitse I=30 mA</t>
  </si>
  <si>
    <t>Pistorasiasta CEE 16A, 5P, 400V, suojattu 6 A (10 A) katkaisijalla, vikavirtasuoja I = 30 mA.</t>
  </si>
  <si>
    <t>электрическая розетка CEE 16А, 5P, 400V, защита автоматическим выключателем 6А(10А), устройство защитного отключения (УЗО) I=30mA</t>
  </si>
  <si>
    <t>Stěna nad překladem, stěny vedle otvoru a plochy pro montáž konzol musí být rovné a v jedné rovině.</t>
  </si>
  <si>
    <t>The rear face of the lintel and the door jambs, as well as the surface for the spring packet must be levelled and in line.</t>
  </si>
  <si>
    <t>Die hinteren Seiten der Sturze und Pfeiler, sowie die Montagefläche für das Federpaket müssen eben und auf einer Linie liegen.</t>
  </si>
  <si>
    <t>Ściany tłumaczenia, obok ściany otworu oraz wszystkie obszary i zbiórki musi być kolor.</t>
  </si>
  <si>
    <t>La surface d'appui pour la pose de la porte sectionnelle doit etre dans le meme plan et verticale.</t>
  </si>
  <si>
    <t>De achterkanten van de penanten, de latei en de montagevlakken van het verenpakket dienen vlak en in één lijn te liggen.</t>
  </si>
  <si>
    <t>Kõik paigalduspinnad peavad olema ühes tasapinnas ja loodis</t>
  </si>
  <si>
    <t>Ylä ja sivukarmien sekä jousipaketin asennuspinnan pitää olla tasaisia ja samassa linjassa</t>
  </si>
  <si>
    <t>Монтажная поверхность должна быть ровной и распологаться в одной вертикальной плоскости</t>
  </si>
  <si>
    <t>Otvor musí být svislý a obdélníkový.</t>
  </si>
  <si>
    <t>Furthermore the opening must be plumb and square.</t>
  </si>
  <si>
    <t>Im übrigen müssen die lichten Masse eben und rechtwinklig sein.</t>
  </si>
  <si>
    <t>Otwór musi być pionowy i prostokątny.</t>
  </si>
  <si>
    <t>L'ouverture de la baie doit etre parfaitement de niveau et d'equerre.</t>
  </si>
  <si>
    <t>Tevens moet de dagmaat vlak en haaks zijn.</t>
  </si>
  <si>
    <t>Ava peab olema täpne ja nelinurkne</t>
  </si>
  <si>
    <t>Lisäksi oviaukon pitää olla pysty- ja vaakasuora sekä nelikulmainen.</t>
  </si>
  <si>
    <t>Проем также должен быть ровным и прямоугольным.</t>
  </si>
  <si>
    <t>W =</t>
  </si>
  <si>
    <t>Podlaha musí být rovná a vodorovná.</t>
  </si>
  <si>
    <t>Floor area must be flat and horizontal.</t>
  </si>
  <si>
    <t>Der Fussboden muss glatt und waagerecht sein.</t>
  </si>
  <si>
    <t>Podłoga musi być równa i pozioma.</t>
  </si>
  <si>
    <t>Le sol doit etre parfaitement horizontal et plan.</t>
  </si>
  <si>
    <t>De afgewerkte vloer dient vlak en waterpas te liggen.</t>
  </si>
  <si>
    <t>Põrandapind peab olema sile ja horisontaalne</t>
  </si>
  <si>
    <t>Lattian pitää olla tasainen ja vaakasuora.</t>
  </si>
  <si>
    <t>Обработанный пол должен быть ровным и без склонов.</t>
  </si>
  <si>
    <t>H =</t>
  </si>
  <si>
    <t>L/R</t>
  </si>
  <si>
    <t>min. 150</t>
  </si>
  <si>
    <t>F</t>
  </si>
  <si>
    <t xml:space="preserve">F = </t>
  </si>
  <si>
    <t>D</t>
  </si>
  <si>
    <t>H + 1250</t>
  </si>
  <si>
    <t>A=</t>
  </si>
  <si>
    <t>Rozměry jsou v mm</t>
  </si>
  <si>
    <t>UNITS in mm</t>
  </si>
  <si>
    <t>MASSE in mm</t>
  </si>
  <si>
    <t>Wymiary podane w mm</t>
  </si>
  <si>
    <t>MESURES en mm</t>
  </si>
  <si>
    <t>MATEN in mm</t>
  </si>
  <si>
    <t>Mõõdud mm</t>
  </si>
  <si>
    <t>YKSIKKÖ mm</t>
  </si>
  <si>
    <t>размеры в мм:</t>
  </si>
  <si>
    <t xml:space="preserve">L = </t>
  </si>
  <si>
    <t>L</t>
  </si>
  <si>
    <t>ширина проема</t>
  </si>
  <si>
    <t xml:space="preserve">R = </t>
  </si>
  <si>
    <t>R</t>
  </si>
  <si>
    <t>min. 180</t>
  </si>
  <si>
    <t>A</t>
  </si>
  <si>
    <t>K.Luňák</t>
  </si>
  <si>
    <t>R. Kříž</t>
  </si>
  <si>
    <t>STP</t>
  </si>
  <si>
    <t>-</t>
  </si>
  <si>
    <t>A3</t>
  </si>
  <si>
    <t>высота проема</t>
  </si>
  <si>
    <t xml:space="preserve">D = </t>
  </si>
  <si>
    <t>min. 400</t>
  </si>
  <si>
    <t>http://door-documents.com/en/indy-installation-drawing-ll-ce</t>
  </si>
  <si>
    <t>High lift</t>
  </si>
  <si>
    <t>Höhe der Führung</t>
  </si>
  <si>
    <t>Wyciąg wysoki</t>
  </si>
  <si>
    <t>LEEVE HAUTE</t>
  </si>
  <si>
    <t>Kõrge tõste</t>
  </si>
  <si>
    <t>korkeanosto</t>
  </si>
  <si>
    <t>Высокий подъем</t>
  </si>
  <si>
    <t>x =</t>
  </si>
  <si>
    <t>S</t>
  </si>
  <si>
    <t>H + 1020</t>
  </si>
  <si>
    <t>Výška stropu</t>
  </si>
  <si>
    <t>Interior height</t>
  </si>
  <si>
    <t>Höhe Innenraum</t>
  </si>
  <si>
    <t>Wysokość stropu</t>
  </si>
  <si>
    <t>HAUTEUR SOUS PLAFOND</t>
  </si>
  <si>
    <t>Hoogte binnenruimte</t>
  </si>
  <si>
    <t>Sisemine kõrgus</t>
  </si>
  <si>
    <t>sisäkorkeus</t>
  </si>
  <si>
    <t>высота внутри помещения до перекрытий</t>
  </si>
  <si>
    <t xml:space="preserve">Y = </t>
  </si>
  <si>
    <t>Volný prostor nad překladem</t>
  </si>
  <si>
    <t>Free room above lintel</t>
  </si>
  <si>
    <t>Freiraum über Sturz</t>
  </si>
  <si>
    <t>Wolna przestrzeń nad nadprożem</t>
  </si>
  <si>
    <t>RETOMBEE DE LINTEAU DISPONIBLE</t>
  </si>
  <si>
    <t>Vrije ruimte boven latei</t>
  </si>
  <si>
    <t>Vaba ruum laeni</t>
  </si>
  <si>
    <t>vapaa ylätila</t>
  </si>
  <si>
    <t>свободное пространство над проемом</t>
  </si>
  <si>
    <t>S=</t>
  </si>
  <si>
    <t>Výška montážní plochy nad otvorem</t>
  </si>
  <si>
    <t>Height of frame above opening</t>
  </si>
  <si>
    <t>Höhe über Montagefläche Loch</t>
  </si>
  <si>
    <t>Wysokość powyżej otworu montażowego powierzchni</t>
  </si>
  <si>
    <t>HAUTEUR AU-DESSUS DU TROU DE SURFACE DE MONTAGE</t>
  </si>
  <si>
    <t>Hoogte frame boven latei</t>
  </si>
  <si>
    <t>Raami kõrgus ava kohal</t>
  </si>
  <si>
    <t>Rungon korkeus oviaukon yläpuolella.</t>
  </si>
  <si>
    <t>высота конструкции ворот над проемом</t>
  </si>
  <si>
    <t>Volný prostor vlevo</t>
  </si>
  <si>
    <t>Free side room left</t>
  </si>
  <si>
    <t>Freiraum LINKS</t>
  </si>
  <si>
    <t>Wolna przestrzeń W LEWO</t>
  </si>
  <si>
    <t>ECOINCON GAUCHE</t>
  </si>
  <si>
    <t>Vrije zijruimte links</t>
  </si>
  <si>
    <t>Vaba küljeruum vasakul</t>
  </si>
  <si>
    <t>vapaa tila vasemalla</t>
  </si>
  <si>
    <t>свободное боковое пространство СЛЕВА</t>
  </si>
  <si>
    <t>Volný prostor vravo</t>
  </si>
  <si>
    <t>Free side room right</t>
  </si>
  <si>
    <t>Freiraum RECHTS</t>
  </si>
  <si>
    <t>Wolna przestrzeń W PRAWO</t>
  </si>
  <si>
    <t>ECOINCON DROITE</t>
  </si>
  <si>
    <t>Vrije zijruimte rechts</t>
  </si>
  <si>
    <t>Vaba küljeruum paremal</t>
  </si>
  <si>
    <t>vapaa tila oikealla</t>
  </si>
  <si>
    <t>свободное боковое пространство СПРАВА</t>
  </si>
  <si>
    <t>050-5</t>
  </si>
  <si>
    <t>Hloubka vedení</t>
  </si>
  <si>
    <t>Back room</t>
  </si>
  <si>
    <t>Einbautiefe</t>
  </si>
  <si>
    <t>Głębokość prowadzenia poziomego</t>
  </si>
  <si>
    <t>REFOULEMENT HORS-TOUT</t>
  </si>
  <si>
    <t>Inbouwdiepte</t>
  </si>
  <si>
    <t>Sügavus</t>
  </si>
  <si>
    <t>tila takana</t>
  </si>
  <si>
    <t>монтажная глубина</t>
  </si>
  <si>
    <t>Kotvící bod č. 1</t>
  </si>
  <si>
    <t>1 st hanging point</t>
  </si>
  <si>
    <t>1. Aufhängepunkt</t>
  </si>
  <si>
    <t>Punkt mocowania nr 1</t>
  </si>
  <si>
    <t>POINT D'ANCRAGE 1 SUSPENTE</t>
  </si>
  <si>
    <t>1e ophangpunt</t>
  </si>
  <si>
    <t>1.kinnituskoht</t>
  </si>
  <si>
    <t>1. ripustuspiste</t>
  </si>
  <si>
    <t>1 точка крепления горизонтальных направляющих</t>
  </si>
  <si>
    <t>Kotvící bod č. 2</t>
  </si>
  <si>
    <t>2 nd hanging point</t>
  </si>
  <si>
    <t>2. Aufhängepunkt</t>
  </si>
  <si>
    <t>Punkt mocowania nr 2</t>
  </si>
  <si>
    <t>POINT D'ANCRAGE 2 SUSPENTE</t>
  </si>
  <si>
    <t>2e ophangpunt</t>
  </si>
  <si>
    <t>2.kinnituskoht</t>
  </si>
  <si>
    <t>2. ripustuspiste</t>
  </si>
  <si>
    <t>2 точка крепления горизонтальных направляющих</t>
  </si>
  <si>
    <t>Kotvící bod č. 3</t>
  </si>
  <si>
    <t>3 rd hanging point</t>
  </si>
  <si>
    <t>3. Aufhängepunkt</t>
  </si>
  <si>
    <t>Punkt mocowania nr 3</t>
  </si>
  <si>
    <t>POINT D'ANCRAGE 3 SUSPENTE</t>
  </si>
  <si>
    <t>3e ophangpunt</t>
  </si>
  <si>
    <t>3. kinnituskohta</t>
  </si>
  <si>
    <t>3. ripustuspiste</t>
  </si>
  <si>
    <t>3 точка крепления горизонтальных направляющих</t>
  </si>
  <si>
    <t>Free room above mounting surface</t>
  </si>
  <si>
    <t>Freiplatz auf der Mountageplatz</t>
  </si>
  <si>
    <t>Wolny przestrzeń nad nadproźem</t>
  </si>
  <si>
    <t>Espace au-dessus de la surface de montage</t>
  </si>
  <si>
    <t>Ruimte boven montagevlak</t>
  </si>
  <si>
    <t>Vaba ruum ülalpool paigalduspinda</t>
  </si>
  <si>
    <t>Vapaa tila asennuspisten kohdalla</t>
  </si>
  <si>
    <t>технологический зазор</t>
  </si>
  <si>
    <t>Ruční ovládání</t>
  </si>
  <si>
    <t>Manually operated</t>
  </si>
  <si>
    <t>Handbedienung</t>
  </si>
  <si>
    <t>Sterowanie ręczne</t>
  </si>
  <si>
    <t>PORTE MANUELLE</t>
  </si>
  <si>
    <t>Handbediend</t>
  </si>
  <si>
    <t>Käsitsi avatav</t>
  </si>
  <si>
    <t>Käsikäyttöinen</t>
  </si>
  <si>
    <t>ручное управление</t>
  </si>
  <si>
    <t>Obě strany</t>
  </si>
  <si>
    <t>Both sided</t>
  </si>
  <si>
    <t>Beide Seiten</t>
  </si>
  <si>
    <t>Obie strony</t>
  </si>
  <si>
    <t>LES 2 COTES</t>
  </si>
  <si>
    <t>Beide zijden</t>
  </si>
  <si>
    <t>Mõlemal pool</t>
  </si>
  <si>
    <t xml:space="preserve">
Kaksipuoleinen</t>
  </si>
  <si>
    <t>обе стороны</t>
  </si>
  <si>
    <t>Ovládání elektricky nebo řetězovým převodem</t>
  </si>
  <si>
    <t>Electrical or hauling chain operated</t>
  </si>
  <si>
    <t>Elektrisch- oder Haspelkettenbedient</t>
  </si>
  <si>
    <t>Sterowanie elektr. lub za pom. przekł. łańc.</t>
  </si>
  <si>
    <t>PORTE MOTORISEE OU AVEC TREUIL A CHAINE</t>
  </si>
  <si>
    <t>Elektrisch- of handketting bediend</t>
  </si>
  <si>
    <t>Elektriliselt või taliga avatav</t>
  </si>
  <si>
    <t>Sähkö- tai ketjukäytöinen</t>
  </si>
  <si>
    <t>электрическое управление или с помощью цепи</t>
  </si>
  <si>
    <t>Motor nebo řetěz. př.</t>
  </si>
  <si>
    <t>Motor or chain side</t>
  </si>
  <si>
    <t>Motor-oder Kettenseite</t>
  </si>
  <si>
    <t>Silnik lub przekł. łańc.</t>
  </si>
  <si>
    <t>ECOINCON LIBRE A COTE DE MOTEUR</t>
  </si>
  <si>
    <t>Motor- of kettingzijde</t>
  </si>
  <si>
    <t>Mootori või tali pool</t>
  </si>
  <si>
    <t>Mootorin tai ketjun puolinen</t>
  </si>
  <si>
    <t>сторона цепи или мотора</t>
  </si>
  <si>
    <t>Głębokość prowadzenia</t>
  </si>
  <si>
    <t>Tila takana</t>
  </si>
  <si>
    <t>Kotvící bod, když je</t>
  </si>
  <si>
    <t>Hanging point if</t>
  </si>
  <si>
    <t>Aufhängepunkte, wenn</t>
  </si>
  <si>
    <t>Punkty mocowania, jeżeli</t>
  </si>
  <si>
    <t>POINT D'ANCRAGE DES SUSPENTES, SI</t>
  </si>
  <si>
    <t>Ophangpunt, als</t>
  </si>
  <si>
    <t xml:space="preserve">Kinnituskoht, kui </t>
  </si>
  <si>
    <t>Ripustuspiste jos</t>
  </si>
  <si>
    <t>точки крепления горизонтальных направляющих, если</t>
  </si>
  <si>
    <t>Kotvící bod</t>
  </si>
  <si>
    <t>Hanging point</t>
  </si>
  <si>
    <t>Aufhängepunkte</t>
  </si>
  <si>
    <t>Punkty mocowania</t>
  </si>
  <si>
    <t>POINT D'ANCRAGE DES SUSPENTES</t>
  </si>
  <si>
    <t>Ophangpunt</t>
  </si>
  <si>
    <t>Kinntuskoht</t>
  </si>
  <si>
    <t>Ripustuspiste</t>
  </si>
  <si>
    <t>точка крепления</t>
  </si>
  <si>
    <t>Wolna przestrzeń nad nadprożem (min.)</t>
  </si>
  <si>
    <t>Vaba ruum sillusest  laeni</t>
  </si>
  <si>
    <t>Tila oviaukon päällä</t>
  </si>
  <si>
    <t>Osa hřídele nad překladem</t>
  </si>
  <si>
    <t>Height of shaft above lintel</t>
  </si>
  <si>
    <t>Mitte Achse zum Sturz</t>
  </si>
  <si>
    <t>Oś wału nad nadprożem</t>
  </si>
  <si>
    <t>POSITIONNEMENT AXE DE l'ARBRE DE LINTEAU</t>
  </si>
  <si>
    <t>Center as boven latei</t>
  </si>
  <si>
    <t>Kesktelg</t>
  </si>
  <si>
    <t>Akseli ovipalkkin päällä</t>
  </si>
  <si>
    <t>центральная ось вала</t>
  </si>
  <si>
    <t>Sestavil:</t>
  </si>
  <si>
    <t>Designed by:</t>
  </si>
  <si>
    <t>Aufgestellt:</t>
  </si>
  <si>
    <t>Wykonał:</t>
  </si>
  <si>
    <t>DESSINE PAR:</t>
  </si>
  <si>
    <t>Getekend door:</t>
  </si>
  <si>
    <t>Joonestatud:</t>
  </si>
  <si>
    <t xml:space="preserve">
Suunnitellut:</t>
  </si>
  <si>
    <t>спроектировано:</t>
  </si>
  <si>
    <t>Upravil:</t>
  </si>
  <si>
    <t>Checked by</t>
  </si>
  <si>
    <t>Bereinigt:</t>
  </si>
  <si>
    <t>Skorygował:</t>
  </si>
  <si>
    <t>MODIFIE PAR:</t>
  </si>
  <si>
    <t>Gecontroleerd door:</t>
  </si>
  <si>
    <t>Kontrollitud:</t>
  </si>
  <si>
    <t>Tarkistanut</t>
  </si>
  <si>
    <t>проверил:</t>
  </si>
  <si>
    <t>Schváleno - datum:</t>
  </si>
  <si>
    <t>Approved by - date:</t>
  </si>
  <si>
    <t>Bereinigt am:</t>
  </si>
  <si>
    <t>Skorygowano dnia:</t>
  </si>
  <si>
    <t>MODIFIE LE (DATE):</t>
  </si>
  <si>
    <t>Goedgekeurd datum:</t>
  </si>
  <si>
    <t>Kinnitatud:</t>
  </si>
  <si>
    <t xml:space="preserve">
Hyväksytty - päivämäärä:</t>
  </si>
  <si>
    <t>одобрил-дата:</t>
  </si>
  <si>
    <t>Název souboru:</t>
  </si>
  <si>
    <t>File name:</t>
  </si>
  <si>
    <t>Dateiname:</t>
  </si>
  <si>
    <t>Nazwa pliku:</t>
  </si>
  <si>
    <t>TITRE:</t>
  </si>
  <si>
    <t>Bestandsnaam</t>
  </si>
  <si>
    <t>Faili nimi:</t>
  </si>
  <si>
    <t xml:space="preserve">
Tiedoston nimi:</t>
  </si>
  <si>
    <t>навание файла:</t>
  </si>
  <si>
    <t>Datum:</t>
  </si>
  <si>
    <t>Date:</t>
  </si>
  <si>
    <t>Data:</t>
  </si>
  <si>
    <t>DATE:</t>
  </si>
  <si>
    <t>Kuupäev:</t>
  </si>
  <si>
    <t>Päivämäärä:</t>
  </si>
  <si>
    <t>дата:</t>
  </si>
  <si>
    <t>Měřítko</t>
  </si>
  <si>
    <t>Scale:</t>
  </si>
  <si>
    <t>Massst.:</t>
  </si>
  <si>
    <t>Podział.:</t>
  </si>
  <si>
    <t>ECHELLE:</t>
  </si>
  <si>
    <t>Schaal:</t>
  </si>
  <si>
    <t>Mõõtkava:</t>
  </si>
  <si>
    <t>Mittakaava:</t>
  </si>
  <si>
    <t>шкала:</t>
  </si>
  <si>
    <t xml:space="preserve">Formát: </t>
  </si>
  <si>
    <t>Sheet:</t>
  </si>
  <si>
    <t>Format:</t>
  </si>
  <si>
    <t>FORMAT:</t>
  </si>
  <si>
    <t>Formaat:</t>
  </si>
  <si>
    <t>Lista:</t>
  </si>
  <si>
    <t>лист:</t>
  </si>
  <si>
    <t xml:space="preserve">STAVEBNÍ PŘIPRAVENOST   </t>
  </si>
  <si>
    <t xml:space="preserve">INSTALLATION DRAWING </t>
  </si>
  <si>
    <t>BAUBEREITSCHAFT                           NIEDRIGSTURZ BESCHLAG (LL-CE)</t>
  </si>
  <si>
    <t>PRZYGOTOWANIE KONSTRUKCYJNE                           PROWADZENIE DLA NIESKIEGO NADPROŻA (LL-CE)</t>
  </si>
  <si>
    <t>PLAN DE RESERVATIONS &amp; ENCOMBREMENTS                                      LEVEE REDUITE (LL-CE)</t>
  </si>
  <si>
    <t>Paigaldusjoonis</t>
  </si>
  <si>
    <t xml:space="preserve">ASENNUSPIIRUSTUS </t>
  </si>
  <si>
    <t>монтажный чертеж</t>
  </si>
  <si>
    <t xml:space="preserve">pružiny nad překladem </t>
  </si>
  <si>
    <t xml:space="preserve">springs above lintel </t>
  </si>
  <si>
    <t xml:space="preserve"> Federn oberhalb des Sturzes </t>
  </si>
  <si>
    <t xml:space="preserve">sprężyny nad nadprożem </t>
  </si>
  <si>
    <t>vedrud ava kohal</t>
  </si>
  <si>
    <t>VERTIKÁLNÍ SYSTÉM</t>
  </si>
  <si>
    <t>VERTICAL LIFT SYSTEM</t>
  </si>
  <si>
    <t>VERTIKALER BESCHLAG (VL-T)</t>
  </si>
  <si>
    <t>PROWADZENIE PIONOWE (VL-T)</t>
  </si>
  <si>
    <t>LEVEE VERTICALE (VL)</t>
  </si>
  <si>
    <t>VERTICAAL PLAFONDSYSTEEM</t>
  </si>
  <si>
    <t>Kód:</t>
  </si>
  <si>
    <t>Code:</t>
  </si>
  <si>
    <t>Kode:</t>
  </si>
  <si>
    <t>Kod:</t>
  </si>
  <si>
    <t>CODE:</t>
  </si>
  <si>
    <t>Nr.:</t>
  </si>
  <si>
    <t>Kood:</t>
  </si>
  <si>
    <t>Koodi:</t>
  </si>
  <si>
    <t>код:</t>
  </si>
  <si>
    <t>Verze:</t>
  </si>
  <si>
    <t>Version:</t>
  </si>
  <si>
    <t>Wersja:</t>
  </si>
  <si>
    <t>VERSION:</t>
  </si>
  <si>
    <t>Versie:</t>
  </si>
  <si>
    <t>Versioon:</t>
  </si>
  <si>
    <t>Versio:</t>
  </si>
  <si>
    <t>версия:</t>
  </si>
  <si>
    <t>NENÍ POŽADOVÁNO</t>
  </si>
  <si>
    <t>NOT REQUIRED</t>
  </si>
  <si>
    <t>NICHT ERFORDELICH</t>
  </si>
  <si>
    <t>Nie jest wymagane</t>
  </si>
  <si>
    <t>Pas nécessaire</t>
  </si>
  <si>
    <t>NIET BENODIGD</t>
  </si>
  <si>
    <t>Mitte vajalik</t>
  </si>
  <si>
    <t>EI VAADITTU</t>
  </si>
  <si>
    <t>НЕ ТРЕБУЕТСЯ</t>
  </si>
  <si>
    <t>Prosím, vyplňte pole, která jsou označena barevně!</t>
  </si>
  <si>
    <t>Please, fill in the fields that are marked in color!</t>
  </si>
  <si>
    <t>Fülen Sie bitte markierte Felder!</t>
  </si>
  <si>
    <t>Prosimy o wypełnienie pól oznaczonych kolorem!</t>
  </si>
  <si>
    <t>S'il vous plaît remplissez les champs qui sont marqués en couleur!</t>
  </si>
  <si>
    <t>Vul a.u.b. de gemarkeerde velden in!</t>
  </si>
  <si>
    <t>Palun täida värvilised väljad!</t>
  </si>
  <si>
    <t xml:space="preserve">
Täytä kentät, jotka on merkitty värillä!</t>
  </si>
  <si>
    <t>пожалуйста, заполните поля обозначенные цветом!</t>
  </si>
  <si>
    <t>Ovládání</t>
  </si>
  <si>
    <t>Operated</t>
  </si>
  <si>
    <t>Bedienung</t>
  </si>
  <si>
    <t>Sterowanie</t>
  </si>
  <si>
    <t>PORTE</t>
  </si>
  <si>
    <t>Bediening</t>
  </si>
  <si>
    <t>Avamine</t>
  </si>
  <si>
    <t>Ohjattu</t>
  </si>
  <si>
    <t>Тип управления</t>
  </si>
  <si>
    <t>ručně</t>
  </si>
  <si>
    <t>manually</t>
  </si>
  <si>
    <t>hand</t>
  </si>
  <si>
    <t>ręcznie wykonany</t>
  </si>
  <si>
    <t>MANUELLE</t>
  </si>
  <si>
    <t>käsitsi</t>
  </si>
  <si>
    <t>manuaalisesti</t>
  </si>
  <si>
    <t>вручную</t>
  </si>
  <si>
    <t>elektricky</t>
  </si>
  <si>
    <t xml:space="preserve">electrical </t>
  </si>
  <si>
    <t>elektrisch</t>
  </si>
  <si>
    <t>elektrycznie</t>
  </si>
  <si>
    <t>MOTORISEE</t>
  </si>
  <si>
    <t>elektriliselt</t>
  </si>
  <si>
    <t>sähköisesti</t>
  </si>
  <si>
    <t>řetězovým převodem</t>
  </si>
  <si>
    <t>hauling chain operated</t>
  </si>
  <si>
    <t>haspeklette</t>
  </si>
  <si>
    <t>Łańcuch napędu</t>
  </si>
  <si>
    <t>TREUIL A CHAINE</t>
  </si>
  <si>
    <t>handketting</t>
  </si>
  <si>
    <t>taliga</t>
  </si>
  <si>
    <t>ketjukäyttöinen</t>
  </si>
  <si>
    <t xml:space="preserve">
цепной привод
цепной привод</t>
  </si>
  <si>
    <t>Umístění motoru</t>
  </si>
  <si>
    <t>Possition of motor</t>
  </si>
  <si>
    <t>Antriebesposition</t>
  </si>
  <si>
    <t>Pozycja sylnika</t>
  </si>
  <si>
    <t>LA POSITION MOTEUR</t>
  </si>
  <si>
    <t>Positie van de motor</t>
  </si>
  <si>
    <t>mootori asukohta</t>
  </si>
  <si>
    <t>Mootorin asema</t>
  </si>
  <si>
    <t>расположение мотора</t>
  </si>
  <si>
    <t>Na levé straně</t>
  </si>
  <si>
    <t>On the left side</t>
  </si>
  <si>
    <t>Auf der linken Seiten</t>
  </si>
  <si>
    <t>Po lewej stronie</t>
  </si>
  <si>
    <t>SUR LE COTE GAUCHE</t>
  </si>
  <si>
    <t>Aan de linkerzijde</t>
  </si>
  <si>
    <t>vasakul küljel</t>
  </si>
  <si>
    <t>Vasemallla</t>
  </si>
  <si>
    <t>с левой стороны</t>
  </si>
  <si>
    <t>Na pravé straně</t>
  </si>
  <si>
    <t>On the right side</t>
  </si>
  <si>
    <t>Auf der rechten Seiten</t>
  </si>
  <si>
    <t>Po prawej strony</t>
  </si>
  <si>
    <t>SUR LE COTE DROIT</t>
  </si>
  <si>
    <t>Aan de rechterzijde</t>
  </si>
  <si>
    <t>paremal küljel</t>
  </si>
  <si>
    <t>Oikealla</t>
  </si>
  <si>
    <t>с правой стороны</t>
  </si>
  <si>
    <t>nezbytný boční prostor</t>
  </si>
  <si>
    <t xml:space="preserve">necessary side room </t>
  </si>
  <si>
    <t xml:space="preserve">Benötigter Freiraum </t>
  </si>
  <si>
    <t xml:space="preserve">niezbędna przestrzeń boczna </t>
  </si>
  <si>
    <t xml:space="preserve">écoinçon minimum requis </t>
  </si>
  <si>
    <t>Vajalik küljeruum</t>
  </si>
  <si>
    <t>tarvittava sivutila</t>
  </si>
  <si>
    <t>необходимое боковое пространство</t>
  </si>
  <si>
    <t>Strana bez motoru</t>
  </si>
  <si>
    <t>No motor/chain</t>
  </si>
  <si>
    <t>Seine ohne Antrieb</t>
  </si>
  <si>
    <t>Strona bez silnika</t>
  </si>
  <si>
    <t>Cote oppose au treuil a chaine</t>
  </si>
  <si>
    <t>ilma mootorita/talita</t>
  </si>
  <si>
    <t>Ei mootoria/ketjua</t>
  </si>
  <si>
    <t>сторона без мотора/цепи</t>
  </si>
  <si>
    <t>Vrata s motorem nebo řetězovým převodem musí obsahovat napínací set 688CR (pro zpětné stahování vrat), který se montuje vždy na pravo (nezáleží na umístění motoru)</t>
  </si>
  <si>
    <t>Motor- or hauling chain operated door must be equipped with tension set  688CR (for closing door), which is fitted always on right side (depends not where is motor/hauling chain)</t>
  </si>
  <si>
    <t>Tore mit Antrieb oder Hanspelkettenantrieb müssen Seilspannvorrichtung (für Zurückziehung) der ist immer rechts montiert (es ist nicht wichtig wo Antrieb montiert ist) enthalten.</t>
  </si>
  <si>
    <t>Brama z silnikiem lub z przekładnią łańcuchową musi zawierać zestaw naprężający 688CR (do zamykania bramy), który montowany jest zawsze po prawej stronie (niezależnie od umieszczenia silnika).</t>
  </si>
  <si>
    <t xml:space="preserve"> La porte motorisée avec transmission par chaîne doit contenir un set de tension  688CR (pour faciliter la manoeuvre de la porte), qui doit toujours etre  monté a droite (cela ne dépend pas de l'emplacement du moteur).</t>
  </si>
  <si>
    <t xml:space="preserve">Mootoriga või taliga avatav uks peab olema varustatud trossipingutuskomplektiga 688CR, mis paigaldatakse alati paremale poole </t>
  </si>
  <si>
    <t xml:space="preserve">Moottori- tai ketjukäyttöinen ovi on varustettava kiristyssarjalla 688CR (sulkeutuvalle ovelle) joka soveltu aina oikealle puolelle (riippumatta kummalla puolella on </t>
  </si>
  <si>
    <t>Система обратной тяги всегда располагается с правой стороны, вне зависимости от места нахождения электропривода/цепного редуктора. При ручном управлении не применяется.</t>
  </si>
  <si>
    <t>Úhel sklonu střechy</t>
  </si>
  <si>
    <t>Gradient of the roof</t>
  </si>
  <si>
    <t>Deckenwinkel</t>
  </si>
  <si>
    <t>PENTE DU TOIT</t>
  </si>
  <si>
    <t>Katusekalle</t>
  </si>
  <si>
    <t>Katon kaltevuus</t>
  </si>
  <si>
    <t>Оцинкованный профиль 80х40х2 мм (в комплекте) должен быть закреплен на потолке минимум в трех точках (2 точки для ворот менее 10м²)</t>
  </si>
  <si>
    <t>Kotvící body pro jekl</t>
  </si>
  <si>
    <t>Hanging point for sleeves</t>
  </si>
  <si>
    <t>Aufhängepunkt für Vierkantrohr</t>
  </si>
  <si>
    <t>Punkt mocowania dla profilu zamkn</t>
  </si>
  <si>
    <t xml:space="preserve">POINT D'ANCRAG POUR FIXATION DU TUBE </t>
  </si>
  <si>
    <t>Nelikanttoru kinnituskoht</t>
  </si>
  <si>
    <t>riiputuspiste holkille</t>
  </si>
  <si>
    <t>ТРОСЫ ВНУТРИ</t>
  </si>
  <si>
    <t>Jekl 80x40x2 (pozink) je součástí dodávky. Musí se pevně přikotvit ke stropu minimálně na 3 místech (u vrat do 10m2 stačí na 2 místech)</t>
  </si>
  <si>
    <t>Galvanized sleeve 80x40x2 is included. Sleeve must be attached to ceiling at minimum 3 points (2 points for door under 10 m2).</t>
  </si>
  <si>
    <t>Rechteckigerohre 80x40x2 (verzinkt) ist ein Lieferungsbestandteil. Er muss fest an die Decke in drei Punkten befestigt werden, (beim Torblatt bis 10 m2 reichen 2 Punkte).</t>
  </si>
  <si>
    <t>Profil zamknięty 80x40x2 (ocynkowany) stanowi część składową dostawy. Musi zostać mocno zamocowany do stropu. Minimalnie w trzech miejscach, (w wypadku bramy do 10 m2 wystarczy w dwóch miejscach)</t>
  </si>
  <si>
    <t xml:space="preserve">Le tube de 80x40x2 en acier galvanisé est compris dans la livraison. II doi bien entre fixé au plafond par au minimum 3 points de fixation (pour les portes jusqu a d 10 m2, 2 point the fixation suffisent). </t>
  </si>
  <si>
    <t>80x40x2 galvaniseeritud toru sisaldub tarnes. Toru kinnitatakse lakke minimaalselt kolmes kohas (2 kinnituskoha ustel alla 10m2)</t>
  </si>
  <si>
    <t>Galvanoitu holkki 80x40x2 sisältyy. Holkki on kiinnitetty kattoon vähintään 3sta pistestä (2 pistettä ovella alle 10 m2).</t>
  </si>
  <si>
    <t>Typ panelu</t>
  </si>
  <si>
    <t>Type of panel</t>
  </si>
  <si>
    <t>Paneel-Typ</t>
  </si>
  <si>
    <t>Rodzaj panelu</t>
  </si>
  <si>
    <t>Type de panneau</t>
  </si>
  <si>
    <t>Panel type</t>
  </si>
  <si>
    <t>Paneelitüüp</t>
  </si>
  <si>
    <t>lamellin tyypi</t>
  </si>
  <si>
    <t>Тип панели</t>
  </si>
  <si>
    <t>40mm</t>
  </si>
  <si>
    <t>40 mm</t>
  </si>
  <si>
    <t>40мм</t>
  </si>
  <si>
    <t>80mm</t>
  </si>
  <si>
    <t>80 mm</t>
  </si>
  <si>
    <t>80мм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</si>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</sst>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8"/>
      <color theme="9" tint="-0.249977111117893"/>
      <name val="Calibri"/>
      <family val="2"/>
      <charset val="238"/>
    </font>
    <font>
      <b/>
      <sz val="10"/>
      <name val="Arial"/>
      <family val="2"/>
      <charset val="238"/>
    </font>
    <font>
      <sz val="14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Arial"/>
      <family val="2"/>
      <charset val="238"/>
    </font>
    <font>
      <sz val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28"/>
      <color indexed="8"/>
      <name val="Calibri"/>
      <family val="2"/>
      <charset val="238"/>
    </font>
    <font>
      <sz val="11"/>
      <color rgb="FFFF0000"/>
      <name val="Calibri"/>
      <family val="2"/>
      <charset val="238"/>
    </font>
    <font>
      <sz val="24"/>
      <color indexed="8"/>
      <name val="Calibri"/>
      <family val="2"/>
      <charset val="238"/>
    </font>
    <font>
      <i/>
      <sz val="11"/>
      <name val="Calibri"/>
      <family val="2"/>
      <charset val="238"/>
    </font>
    <font>
      <sz val="11"/>
      <color theme="0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4">
    <xf numFmtId="0" fontId="0" fillId="0" borderId="0" xfId="0"/>
    <xf numFmtId="0" fontId="0" fillId="0" borderId="1" xfId="0" applyBorder="1"/>
    <xf numFmtId="0" fontId="0" fillId="0" borderId="2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2" borderId="7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3" borderId="0" xfId="0" applyFill="1" applyBorder="1"/>
    <xf numFmtId="0" fontId="0" fillId="3" borderId="0" xfId="0" applyFill="1"/>
    <xf numFmtId="0" fontId="0" fillId="0" borderId="0" xfId="0" applyFill="1"/>
    <xf numFmtId="0" fontId="4" fillId="0" borderId="0" xfId="0" applyFont="1" applyBorder="1"/>
    <xf numFmtId="0" fontId="0" fillId="4" borderId="0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3" borderId="0" xfId="0" applyFont="1" applyFill="1"/>
    <xf numFmtId="0" fontId="0" fillId="0" borderId="0" xfId="0" applyFill="1" applyBorder="1"/>
    <xf numFmtId="0" fontId="7" fillId="0" borderId="0" xfId="0" applyFont="1"/>
    <xf numFmtId="0" fontId="5" fillId="0" borderId="0" xfId="0" applyFont="1" applyBorder="1"/>
    <xf numFmtId="0" fontId="4" fillId="0" borderId="0" xfId="0" applyFont="1" applyFill="1" applyBorder="1"/>
    <xf numFmtId="0" fontId="0" fillId="4" borderId="0" xfId="0" applyFill="1" applyBorder="1" applyAlignment="1" applyProtection="1">
      <alignment horizontal="center"/>
      <protection locked="0"/>
    </xf>
    <xf numFmtId="0" fontId="4" fillId="0" borderId="0" xfId="0" applyFont="1" applyBorder="1" applyAlignment="1"/>
    <xf numFmtId="0" fontId="0" fillId="0" borderId="9" xfId="0" applyFill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6" fillId="3" borderId="0" xfId="1" applyFont="1" applyFill="1" applyBorder="1"/>
    <xf numFmtId="0" fontId="6" fillId="3" borderId="0" xfId="0" applyFont="1" applyFill="1" applyBorder="1"/>
    <xf numFmtId="0" fontId="6" fillId="0" borderId="0" xfId="0" applyFont="1"/>
    <xf numFmtId="0" fontId="0" fillId="0" borderId="11" xfId="0" applyFill="1" applyBorder="1" applyAlignment="1">
      <alignment horizontal="center"/>
    </xf>
    <xf numFmtId="0" fontId="4" fillId="0" borderId="0" xfId="0" applyFont="1"/>
    <xf numFmtId="0" fontId="0" fillId="5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/>
    <xf numFmtId="0" fontId="4" fillId="0" borderId="0" xfId="0" applyFont="1" applyFill="1" applyBorder="1" applyAlignment="1"/>
    <xf numFmtId="0" fontId="0" fillId="0" borderId="13" xfId="0" applyBorder="1"/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10" fillId="0" borderId="13" xfId="0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8" fillId="0" borderId="0" xfId="0" applyFont="1" applyAlignment="1"/>
    <xf numFmtId="1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 horizontal="center" textRotation="90"/>
    </xf>
    <xf numFmtId="1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top" textRotation="90"/>
    </xf>
    <xf numFmtId="0" fontId="8" fillId="0" borderId="13" xfId="0" applyNumberFormat="1" applyFont="1" applyBorder="1" applyAlignment="1">
      <alignment horizontal="center" vertical="top" textRotation="90"/>
    </xf>
    <xf numFmtId="0" fontId="8" fillId="0" borderId="0" xfId="0" applyFont="1" applyBorder="1" applyAlignment="1">
      <alignment horizontal="left" textRotation="90"/>
    </xf>
    <xf numFmtId="0" fontId="11" fillId="0" borderId="0" xfId="0" applyFont="1" applyBorder="1" applyAlignment="1">
      <alignment vertical="center" wrapText="1"/>
    </xf>
    <xf numFmtId="0" fontId="9" fillId="0" borderId="0" xfId="0" applyFont="1" applyBorder="1"/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textRotation="90"/>
    </xf>
    <xf numFmtId="0" fontId="8" fillId="0" borderId="0" xfId="0" applyFont="1" applyBorder="1" applyAlignment="1">
      <alignment vertical="center" textRotation="90"/>
    </xf>
    <xf numFmtId="0" fontId="9" fillId="0" borderId="0" xfId="0" applyFont="1"/>
    <xf numFmtId="0" fontId="8" fillId="0" borderId="13" xfId="0" applyFont="1" applyBorder="1" applyAlignment="1">
      <alignment horizontal="left" vertical="center" textRotation="90"/>
    </xf>
    <xf numFmtId="0" fontId="1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0" fontId="8" fillId="0" borderId="0" xfId="0" applyFont="1" applyBorder="1" applyAlignment="1">
      <alignment vertical="top" textRotation="90"/>
    </xf>
    <xf numFmtId="0" fontId="10" fillId="0" borderId="0" xfId="0" applyFont="1"/>
    <xf numFmtId="0" fontId="8" fillId="0" borderId="13" xfId="0" applyFont="1" applyBorder="1" applyAlignment="1">
      <alignment horizontal="center" vertical="top" textRotation="90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indent="3"/>
    </xf>
    <xf numFmtId="0" fontId="8" fillId="0" borderId="0" xfId="0" applyFont="1" applyBorder="1" applyAlignment="1">
      <alignment textRotation="90"/>
    </xf>
    <xf numFmtId="0" fontId="5" fillId="0" borderId="0" xfId="0" applyFont="1" applyBorder="1" applyAlignment="1">
      <alignment horizontal="left" indent="3"/>
    </xf>
    <xf numFmtId="0" fontId="8" fillId="0" borderId="0" xfId="0" applyFont="1" applyBorder="1" applyAlignment="1">
      <alignment horizontal="center" textRotation="90"/>
    </xf>
    <xf numFmtId="0" fontId="0" fillId="0" borderId="0" xfId="0" applyAlignment="1">
      <alignment horizontal="left" indent="1"/>
    </xf>
    <xf numFmtId="0" fontId="8" fillId="0" borderId="0" xfId="0" applyFont="1" applyBorder="1" applyAlignment="1">
      <alignment horizontal="center" vertical="center" textRotation="90"/>
    </xf>
    <xf numFmtId="0" fontId="5" fillId="0" borderId="0" xfId="0" applyFont="1"/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wrapText="1"/>
    </xf>
    <xf numFmtId="0" fontId="8" fillId="0" borderId="13" xfId="0" applyFont="1" applyBorder="1" applyAlignment="1">
      <alignment horizontal="right" textRotation="90"/>
    </xf>
    <xf numFmtId="0" fontId="8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13" xfId="0" applyFont="1" applyBorder="1"/>
    <xf numFmtId="0" fontId="0" fillId="0" borderId="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2" fillId="0" borderId="13" xfId="0" applyFont="1" applyFill="1" applyBorder="1" applyAlignment="1">
      <alignment horizontal="left"/>
    </xf>
    <xf numFmtId="0" fontId="5" fillId="0" borderId="0" xfId="0" applyFont="1" applyFill="1" applyBorder="1"/>
    <xf numFmtId="0" fontId="0" fillId="0" borderId="1" xfId="0" applyFill="1" applyBorder="1"/>
    <xf numFmtId="0" fontId="0" fillId="0" borderId="14" xfId="0" applyBorder="1"/>
    <xf numFmtId="0" fontId="0" fillId="0" borderId="15" xfId="0" applyBorder="1"/>
    <xf numFmtId="0" fontId="0" fillId="0" borderId="11" xfId="0" applyBorder="1"/>
    <xf numFmtId="0" fontId="0" fillId="0" borderId="16" xfId="0" applyFill="1" applyBorder="1" applyAlignment="1">
      <alignment horizontal="center"/>
    </xf>
    <xf numFmtId="0" fontId="0" fillId="0" borderId="15" xfId="0" applyFill="1" applyBorder="1"/>
    <xf numFmtId="0" fontId="0" fillId="0" borderId="11" xfId="0" applyFill="1" applyBorder="1"/>
    <xf numFmtId="0" fontId="0" fillId="3" borderId="15" xfId="0" applyFill="1" applyBorder="1"/>
    <xf numFmtId="0" fontId="0" fillId="3" borderId="1" xfId="0" applyFill="1" applyBorder="1"/>
    <xf numFmtId="0" fontId="0" fillId="3" borderId="11" xfId="0" applyFill="1" applyBorder="1"/>
    <xf numFmtId="0" fontId="0" fillId="0" borderId="14" xfId="0" applyFill="1" applyBorder="1" applyAlignment="1"/>
    <xf numFmtId="0" fontId="0" fillId="0" borderId="15" xfId="0" applyFill="1" applyBorder="1" applyAlignment="1"/>
    <xf numFmtId="0" fontId="6" fillId="0" borderId="11" xfId="0" applyFont="1" applyFill="1" applyBorder="1" applyAlignment="1" applyProtection="1"/>
    <xf numFmtId="0" fontId="13" fillId="0" borderId="15" xfId="0" applyFont="1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17" xfId="0" applyBorder="1"/>
    <xf numFmtId="0" fontId="0" fillId="0" borderId="1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Fill="1" applyBorder="1"/>
    <xf numFmtId="0" fontId="0" fillId="0" borderId="18" xfId="0" applyBorder="1" applyAlignment="1">
      <alignment horizontal="center"/>
    </xf>
    <xf numFmtId="0" fontId="6" fillId="0" borderId="0" xfId="0" applyFont="1" applyAlignment="1">
      <alignment horizontal="left"/>
    </xf>
    <xf numFmtId="14" fontId="0" fillId="0" borderId="14" xfId="0" applyNumberFormat="1" applyBorder="1" applyAlignment="1">
      <alignment horizontal="center"/>
    </xf>
    <xf numFmtId="14" fontId="0" fillId="0" borderId="19" xfId="0" applyNumberFormat="1" applyBorder="1"/>
    <xf numFmtId="0" fontId="0" fillId="0" borderId="17" xfId="0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4" fillId="0" borderId="2" xfId="0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 shrinkToFit="1"/>
    </xf>
    <xf numFmtId="0" fontId="14" fillId="0" borderId="6" xfId="0" applyFont="1" applyFill="1" applyBorder="1" applyAlignment="1">
      <alignment horizontal="center" vertical="center" wrapText="1" shrinkToFit="1"/>
    </xf>
    <xf numFmtId="0" fontId="0" fillId="0" borderId="14" xfId="0" applyFill="1" applyBorder="1"/>
    <xf numFmtId="0" fontId="13" fillId="0" borderId="15" xfId="0" applyFont="1" applyFill="1" applyBorder="1"/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 shrinkToFit="1"/>
    </xf>
    <xf numFmtId="0" fontId="14" fillId="0" borderId="4" xfId="0" applyFont="1" applyFill="1" applyBorder="1" applyAlignment="1">
      <alignment horizontal="center" vertical="center" wrapText="1" shrinkToFit="1"/>
    </xf>
    <xf numFmtId="0" fontId="0" fillId="6" borderId="14" xfId="0" applyFill="1" applyBorder="1" applyAlignment="1"/>
    <xf numFmtId="0" fontId="15" fillId="6" borderId="15" xfId="0" applyFont="1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16" fillId="0" borderId="13" xfId="0" applyFont="1" applyFill="1" applyBorder="1" applyAlignment="1">
      <alignment horizontal="center" vertical="center" wrapText="1" shrinkToFit="1"/>
    </xf>
    <xf numFmtId="0" fontId="16" fillId="0" borderId="0" xfId="0" applyFont="1" applyFill="1" applyBorder="1" applyAlignment="1">
      <alignment horizontal="center" vertical="center" wrapText="1" shrinkToFit="1"/>
    </xf>
    <xf numFmtId="0" fontId="16" fillId="0" borderId="4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/>
    </xf>
    <xf numFmtId="0" fontId="13" fillId="0" borderId="15" xfId="0" applyFont="1" applyBorder="1" applyAlignment="1">
      <alignment horizontal="right"/>
    </xf>
    <xf numFmtId="0" fontId="6" fillId="0" borderId="14" xfId="0" applyFont="1" applyFill="1" applyBorder="1" applyAlignment="1"/>
    <xf numFmtId="0" fontId="17" fillId="0" borderId="15" xfId="0" applyFont="1" applyFill="1" applyBorder="1" applyAlignment="1"/>
    <xf numFmtId="0" fontId="0" fillId="0" borderId="16" xfId="0" applyBorder="1"/>
    <xf numFmtId="0" fontId="6" fillId="0" borderId="15" xfId="0" applyFont="1" applyFill="1" applyBorder="1" applyAlignment="1"/>
    <xf numFmtId="1" fontId="0" fillId="0" borderId="11" xfId="0" applyNumberFormat="1" applyBorder="1"/>
    <xf numFmtId="0" fontId="16" fillId="0" borderId="19" xfId="0" applyFont="1" applyFill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horizontal="center" vertical="center" wrapText="1" shrinkToFit="1"/>
    </xf>
    <xf numFmtId="0" fontId="16" fillId="0" borderId="17" xfId="0" applyFont="1" applyFill="1" applyBorder="1" applyAlignment="1">
      <alignment horizontal="center" vertical="center" wrapText="1" shrinkToFit="1"/>
    </xf>
    <xf numFmtId="0" fontId="0" fillId="0" borderId="18" xfId="0" applyBorder="1"/>
    <xf numFmtId="0" fontId="18" fillId="7" borderId="15" xfId="0" applyFont="1" applyFill="1" applyBorder="1"/>
    <xf numFmtId="0" fontId="6" fillId="0" borderId="1" xfId="0" applyFont="1" applyFill="1" applyBorder="1" applyAlignment="1"/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6" xfId="0" applyFill="1" applyBorder="1"/>
    <xf numFmtId="0" fontId="0" fillId="0" borderId="18" xfId="0" applyFill="1" applyBorder="1"/>
    <xf numFmtId="0" fontId="0" fillId="0" borderId="19" xfId="0" applyBorder="1"/>
    <xf numFmtId="0" fontId="0" fillId="0" borderId="1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19" fillId="0" borderId="0" xfId="0" applyFont="1" applyBorder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8" borderId="0" xfId="0" applyFill="1"/>
    <xf numFmtId="0" fontId="0" fillId="0" borderId="2" xfId="0" applyBorder="1"/>
    <xf numFmtId="0" fontId="0" fillId="0" borderId="6" xfId="0" applyBorder="1"/>
    <xf numFmtId="0" fontId="10" fillId="0" borderId="0" xfId="0" applyFont="1" applyBorder="1" applyAlignment="1">
      <alignment horizontal="right"/>
    </xf>
    <xf numFmtId="0" fontId="10" fillId="0" borderId="13" xfId="0" applyFont="1" applyBorder="1" applyAlignment="1">
      <alignment vertical="center" textRotation="90"/>
    </xf>
    <xf numFmtId="0" fontId="10" fillId="0" borderId="13" xfId="0" applyFont="1" applyBorder="1" applyAlignment="1">
      <alignment textRotation="90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9" fillId="0" borderId="13" xfId="0" applyFont="1" applyBorder="1"/>
    <xf numFmtId="0" fontId="9" fillId="0" borderId="4" xfId="0" applyFont="1" applyBorder="1"/>
    <xf numFmtId="0" fontId="8" fillId="0" borderId="13" xfId="0" applyFont="1" applyBorder="1" applyAlignment="1">
      <alignment vertical="center" textRotation="90"/>
    </xf>
    <xf numFmtId="0" fontId="8" fillId="0" borderId="13" xfId="0" applyFont="1" applyBorder="1" applyAlignment="1">
      <alignment textRotation="90"/>
    </xf>
  </cellXfs>
  <cellStyles count="2">
    <cellStyle name="Normální" xfId="0" builtinId="0"/>
    <cellStyle name="normální_List1" xfId="1"/>
  </cellStyles>
  <dxfs count="1">
    <dxf>
      <font>
        <condense val="0"/>
        <extend val="0"/>
        <color indexed="9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11</xdr:row>
      <xdr:rowOff>213360</xdr:rowOff>
    </xdr:from>
    <xdr:to>
      <xdr:col>8</xdr:col>
      <xdr:colOff>243840</xdr:colOff>
      <xdr:row>31</xdr:row>
      <xdr:rowOff>190500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2750820"/>
          <a:ext cx="4541520" cy="473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289560</xdr:colOff>
      <xdr:row>9</xdr:row>
      <xdr:rowOff>106680</xdr:rowOff>
    </xdr:from>
    <xdr:to>
      <xdr:col>19</xdr:col>
      <xdr:colOff>160020</xdr:colOff>
      <xdr:row>32</xdr:row>
      <xdr:rowOff>190500</xdr:rowOff>
    </xdr:to>
    <xdr:pic>
      <xdr:nvPicPr>
        <xdr:cNvPr id="3" name="Picture 394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8160" y="2217420"/>
          <a:ext cx="5242560" cy="5471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297180</xdr:colOff>
      <xdr:row>36</xdr:row>
      <xdr:rowOff>144780</xdr:rowOff>
    </xdr:from>
    <xdr:to>
      <xdr:col>7</xdr:col>
      <xdr:colOff>464820</xdr:colOff>
      <xdr:row>42</xdr:row>
      <xdr:rowOff>167640</xdr:rowOff>
    </xdr:to>
    <xdr:pic>
      <xdr:nvPicPr>
        <xdr:cNvPr id="4" name="Obrázek 2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0060" y="8389620"/>
          <a:ext cx="4122420" cy="1242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365760</xdr:colOff>
      <xdr:row>44</xdr:row>
      <xdr:rowOff>160020</xdr:rowOff>
    </xdr:from>
    <xdr:to>
      <xdr:col>16</xdr:col>
      <xdr:colOff>449580</xdr:colOff>
      <xdr:row>48</xdr:row>
      <xdr:rowOff>45720</xdr:rowOff>
    </xdr:to>
    <xdr:pic>
      <xdr:nvPicPr>
        <xdr:cNvPr id="5" name="Picture 30" descr="part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0020300"/>
          <a:ext cx="807720" cy="662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21</xdr:col>
      <xdr:colOff>266700</xdr:colOff>
      <xdr:row>44</xdr:row>
      <xdr:rowOff>152400</xdr:rowOff>
    </xdr:from>
    <xdr:to>
      <xdr:col>22</xdr:col>
      <xdr:colOff>548640</xdr:colOff>
      <xdr:row>46</xdr:row>
      <xdr:rowOff>83820</xdr:rowOff>
    </xdr:to>
    <xdr:pic>
      <xdr:nvPicPr>
        <xdr:cNvPr id="6" name="Picture 31" descr="part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3947"/>
        <a:stretch>
          <a:fillRect/>
        </a:stretch>
      </xdr:blipFill>
      <xdr:spPr bwMode="auto">
        <a:xfrm>
          <a:off x="14813280" y="10012680"/>
          <a:ext cx="891540" cy="327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137160</xdr:colOff>
      <xdr:row>22</xdr:row>
      <xdr:rowOff>167640</xdr:rowOff>
    </xdr:from>
    <xdr:to>
      <xdr:col>8</xdr:col>
      <xdr:colOff>213360</xdr:colOff>
      <xdr:row>24</xdr:row>
      <xdr:rowOff>121920</xdr:rowOff>
    </xdr:to>
    <xdr:sp macro="" textlink="">
      <xdr:nvSpPr>
        <xdr:cNvPr id="7" name="Line 17"/>
        <xdr:cNvSpPr>
          <a:spLocks noChangeShapeType="1"/>
        </xdr:cNvSpPr>
      </xdr:nvSpPr>
      <xdr:spPr bwMode="auto">
        <a:xfrm>
          <a:off x="4274820" y="5501640"/>
          <a:ext cx="685800" cy="3505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144780</xdr:colOff>
      <xdr:row>24</xdr:row>
      <xdr:rowOff>152400</xdr:rowOff>
    </xdr:from>
    <xdr:to>
      <xdr:col>8</xdr:col>
      <xdr:colOff>266700</xdr:colOff>
      <xdr:row>27</xdr:row>
      <xdr:rowOff>121920</xdr:rowOff>
    </xdr:to>
    <xdr:sp macro="" textlink="">
      <xdr:nvSpPr>
        <xdr:cNvPr id="8" name="Line 18"/>
        <xdr:cNvSpPr>
          <a:spLocks noChangeShapeType="1"/>
        </xdr:cNvSpPr>
      </xdr:nvSpPr>
      <xdr:spPr bwMode="auto">
        <a:xfrm>
          <a:off x="4282440" y="5882640"/>
          <a:ext cx="731520" cy="563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106680</xdr:colOff>
      <xdr:row>21</xdr:row>
      <xdr:rowOff>53340</xdr:rowOff>
    </xdr:from>
    <xdr:to>
      <xdr:col>8</xdr:col>
      <xdr:colOff>205740</xdr:colOff>
      <xdr:row>22</xdr:row>
      <xdr:rowOff>99060</xdr:rowOff>
    </xdr:to>
    <xdr:sp macro="" textlink="">
      <xdr:nvSpPr>
        <xdr:cNvPr id="9" name="Line 219"/>
        <xdr:cNvSpPr>
          <a:spLocks noChangeShapeType="1"/>
        </xdr:cNvSpPr>
      </xdr:nvSpPr>
      <xdr:spPr bwMode="auto">
        <a:xfrm flipH="1" flipV="1">
          <a:off x="4244340" y="5189220"/>
          <a:ext cx="708660" cy="2438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76200</xdr:colOff>
      <xdr:row>20</xdr:row>
      <xdr:rowOff>198120</xdr:rowOff>
    </xdr:from>
    <xdr:to>
      <xdr:col>8</xdr:col>
      <xdr:colOff>213360</xdr:colOff>
      <xdr:row>21</xdr:row>
      <xdr:rowOff>152400</xdr:rowOff>
    </xdr:to>
    <xdr:sp macro="" textlink="">
      <xdr:nvSpPr>
        <xdr:cNvPr id="10" name="Line 14"/>
        <xdr:cNvSpPr>
          <a:spLocks noChangeShapeType="1"/>
        </xdr:cNvSpPr>
      </xdr:nvSpPr>
      <xdr:spPr bwMode="auto">
        <a:xfrm flipH="1" flipV="1">
          <a:off x="4213860" y="4648200"/>
          <a:ext cx="746760" cy="6400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381000</xdr:colOff>
      <xdr:row>15</xdr:row>
      <xdr:rowOff>182880</xdr:rowOff>
    </xdr:from>
    <xdr:to>
      <xdr:col>11</xdr:col>
      <xdr:colOff>373380</xdr:colOff>
      <xdr:row>20</xdr:row>
      <xdr:rowOff>0</xdr:rowOff>
    </xdr:to>
    <xdr:sp macro="" textlink="">
      <xdr:nvSpPr>
        <xdr:cNvPr id="11" name="Line 265"/>
        <xdr:cNvSpPr>
          <a:spLocks noChangeShapeType="1"/>
        </xdr:cNvSpPr>
      </xdr:nvSpPr>
      <xdr:spPr bwMode="auto">
        <a:xfrm flipH="1">
          <a:off x="7604760" y="3505200"/>
          <a:ext cx="617220" cy="9448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18</xdr:col>
      <xdr:colOff>114300</xdr:colOff>
      <xdr:row>63</xdr:row>
      <xdr:rowOff>182880</xdr:rowOff>
    </xdr:from>
    <xdr:to>
      <xdr:col>20</xdr:col>
      <xdr:colOff>0</xdr:colOff>
      <xdr:row>69</xdr:row>
      <xdr:rowOff>0</xdr:rowOff>
    </xdr:to>
    <xdr:pic>
      <xdr:nvPicPr>
        <xdr:cNvPr id="12" name="Obrázek 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00" t="7500" r="5833" b="7500"/>
        <a:stretch>
          <a:fillRect/>
        </a:stretch>
      </xdr:blipFill>
      <xdr:spPr bwMode="auto">
        <a:xfrm>
          <a:off x="12725400" y="13731240"/>
          <a:ext cx="110490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160020</xdr:colOff>
      <xdr:row>38</xdr:row>
      <xdr:rowOff>137160</xdr:rowOff>
    </xdr:from>
    <xdr:to>
      <xdr:col>11</xdr:col>
      <xdr:colOff>327660</xdr:colOff>
      <xdr:row>48</xdr:row>
      <xdr:rowOff>137160</xdr:rowOff>
    </xdr:to>
    <xdr:grpSp>
      <xdr:nvGrpSpPr>
        <xdr:cNvPr id="13" name="Skupina 9"/>
        <xdr:cNvGrpSpPr>
          <a:grpSpLocks/>
        </xdr:cNvGrpSpPr>
      </xdr:nvGrpSpPr>
      <xdr:grpSpPr bwMode="auto">
        <a:xfrm>
          <a:off x="6004560" y="8808720"/>
          <a:ext cx="2171700" cy="1965960"/>
          <a:chOff x="5595714" y="8462506"/>
          <a:chExt cx="2207432" cy="2483472"/>
        </a:xfrm>
      </xdr:grpSpPr>
      <xdr:pic>
        <xdr:nvPicPr>
          <xdr:cNvPr id="14" name="Obrázek 5"/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595714" y="8924560"/>
            <a:ext cx="2065529" cy="20214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" name="TextovéPole 14"/>
          <xdr:cNvSpPr txBox="1"/>
        </xdr:nvSpPr>
        <xdr:spPr>
          <a:xfrm>
            <a:off x="6935664" y="8462506"/>
            <a:ext cx="867482" cy="76044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cs-CZ" sz="3200"/>
              <a:t>B</a:t>
            </a:r>
          </a:p>
        </xdr:txBody>
      </xdr:sp>
      <xdr:pic>
        <xdr:nvPicPr>
          <xdr:cNvPr id="16" name="Obrázek 8"/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73108" y="9243929"/>
            <a:ext cx="2201956" cy="16326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384266</xdr:colOff>
      <xdr:row>4</xdr:row>
      <xdr:rowOff>150223</xdr:rowOff>
    </xdr:from>
    <xdr:to>
      <xdr:col>26</xdr:col>
      <xdr:colOff>764177</xdr:colOff>
      <xdr:row>19</xdr:row>
      <xdr:rowOff>92529</xdr:rowOff>
    </xdr:to>
    <xdr:grpSp>
      <xdr:nvGrpSpPr>
        <xdr:cNvPr id="17" name="Skupina 1"/>
        <xdr:cNvGrpSpPr>
          <a:grpSpLocks/>
        </xdr:cNvGrpSpPr>
      </xdr:nvGrpSpPr>
      <xdr:grpSpPr bwMode="auto">
        <a:xfrm>
          <a:off x="13604966" y="1018903"/>
          <a:ext cx="5081451" cy="3157946"/>
          <a:chOff x="13752739" y="1069521"/>
          <a:chExt cx="5064579" cy="3299733"/>
        </a:xfrm>
      </xdr:grpSpPr>
      <xdr:pic>
        <xdr:nvPicPr>
          <xdr:cNvPr id="18" name="Picture 233"/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752739" y="1069521"/>
            <a:ext cx="5064579" cy="32997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19" name="Skupina 10"/>
          <xdr:cNvGrpSpPr>
            <a:grpSpLocks/>
          </xdr:cNvGrpSpPr>
        </xdr:nvGrpSpPr>
        <xdr:grpSpPr bwMode="auto">
          <a:xfrm>
            <a:off x="15825655" y="3483580"/>
            <a:ext cx="885427" cy="721083"/>
            <a:chOff x="15898639" y="3944659"/>
            <a:chExt cx="854839" cy="683859"/>
          </a:xfrm>
        </xdr:grpSpPr>
        <xdr:sp macro="" textlink="">
          <xdr:nvSpPr>
            <xdr:cNvPr id="20" name="Ovál 19"/>
            <xdr:cNvSpPr/>
          </xdr:nvSpPr>
          <xdr:spPr>
            <a:xfrm>
              <a:off x="15898639" y="3989259"/>
              <a:ext cx="615784" cy="639259"/>
            </a:xfrm>
            <a:prstGeom prst="ellipse">
              <a:avLst/>
            </a:prstGeom>
            <a:noFill/>
            <a:ln w="12700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cs-CZ"/>
            </a:p>
          </xdr:txBody>
        </xdr:sp>
        <xdr:sp macro="" textlink="">
          <xdr:nvSpPr>
            <xdr:cNvPr id="21" name="TextovéPole 20"/>
            <xdr:cNvSpPr txBox="1"/>
          </xdr:nvSpPr>
          <xdr:spPr>
            <a:xfrm>
              <a:off x="16499761" y="3944659"/>
              <a:ext cx="253717" cy="2580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cs-CZ" sz="1100" b="1"/>
                <a:t>B</a:t>
              </a:r>
            </a:p>
          </xdr:txBody>
        </xdr:sp>
      </xdr:grpSp>
    </xdr:grpSp>
    <xdr:clientData/>
  </xdr:twoCellAnchor>
  <xdr:twoCellAnchor>
    <xdr:from>
      <xdr:col>16</xdr:col>
      <xdr:colOff>259838</xdr:colOff>
      <xdr:row>12</xdr:row>
      <xdr:rowOff>152240</xdr:rowOff>
    </xdr:from>
    <xdr:to>
      <xdr:col>17</xdr:col>
      <xdr:colOff>413937</xdr:colOff>
      <xdr:row>14</xdr:row>
      <xdr:rowOff>108279</xdr:rowOff>
    </xdr:to>
    <xdr:sp macro="" textlink="">
      <xdr:nvSpPr>
        <xdr:cNvPr id="22" name="TextovéPole 21"/>
        <xdr:cNvSpPr txBox="1"/>
      </xdr:nvSpPr>
      <xdr:spPr>
        <a:xfrm>
          <a:off x="11514578" y="2918300"/>
          <a:ext cx="763699" cy="329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Y2=</a:t>
          </a:r>
        </a:p>
      </xdr:txBody>
    </xdr:sp>
    <xdr:clientData/>
  </xdr:twoCellAnchor>
  <xdr:twoCellAnchor>
    <xdr:from>
      <xdr:col>7</xdr:col>
      <xdr:colOff>349199</xdr:colOff>
      <xdr:row>30</xdr:row>
      <xdr:rowOff>12654</xdr:rowOff>
    </xdr:from>
    <xdr:to>
      <xdr:col>8</xdr:col>
      <xdr:colOff>515314</xdr:colOff>
      <xdr:row>31</xdr:row>
      <xdr:rowOff>151400</xdr:rowOff>
    </xdr:to>
    <xdr:sp macro="" textlink="">
      <xdr:nvSpPr>
        <xdr:cNvPr id="23" name="TextovéPole 22"/>
        <xdr:cNvSpPr txBox="1"/>
      </xdr:nvSpPr>
      <xdr:spPr>
        <a:xfrm>
          <a:off x="4486859" y="7099254"/>
          <a:ext cx="775715" cy="352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050" b="1">
              <a:latin typeface="Arial" panose="020B0604020202020204" pitchFamily="34" charset="0"/>
              <a:cs typeface="Arial" panose="020B0604020202020204" pitchFamily="34" charset="0"/>
            </a:rPr>
            <a:t>R=</a:t>
          </a:r>
        </a:p>
      </xdr:txBody>
    </xdr:sp>
    <xdr:clientData/>
  </xdr:twoCellAnchor>
  <xdr:twoCellAnchor>
    <xdr:from>
      <xdr:col>1</xdr:col>
      <xdr:colOff>96613</xdr:colOff>
      <xdr:row>30</xdr:row>
      <xdr:rowOff>11571</xdr:rowOff>
    </xdr:from>
    <xdr:to>
      <xdr:col>2</xdr:col>
      <xdr:colOff>243151</xdr:colOff>
      <xdr:row>31</xdr:row>
      <xdr:rowOff>150317</xdr:rowOff>
    </xdr:to>
    <xdr:sp macro="" textlink="">
      <xdr:nvSpPr>
        <xdr:cNvPr id="24" name="TextovéPole 23"/>
        <xdr:cNvSpPr txBox="1"/>
      </xdr:nvSpPr>
      <xdr:spPr>
        <a:xfrm>
          <a:off x="279493" y="7098171"/>
          <a:ext cx="756138" cy="3521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050" b="1">
              <a:latin typeface="Arial" panose="020B0604020202020204" pitchFamily="34" charset="0"/>
              <a:cs typeface="Arial" panose="020B0604020202020204" pitchFamily="34" charset="0"/>
            </a:rPr>
            <a:t>L=</a:t>
          </a:r>
        </a:p>
      </xdr:txBody>
    </xdr:sp>
    <xdr:clientData/>
  </xdr:twoCellAnchor>
  <xdr:twoCellAnchor>
    <xdr:from>
      <xdr:col>3</xdr:col>
      <xdr:colOff>246848</xdr:colOff>
      <xdr:row>40</xdr:row>
      <xdr:rowOff>173496</xdr:rowOff>
    </xdr:from>
    <xdr:to>
      <xdr:col>4</xdr:col>
      <xdr:colOff>523272</xdr:colOff>
      <xdr:row>42</xdr:row>
      <xdr:rowOff>112217</xdr:rowOff>
    </xdr:to>
    <xdr:sp macro="" textlink="">
      <xdr:nvSpPr>
        <xdr:cNvPr id="25" name="TextovéPole 24"/>
        <xdr:cNvSpPr txBox="1"/>
      </xdr:nvSpPr>
      <xdr:spPr>
        <a:xfrm>
          <a:off x="2068028" y="9241296"/>
          <a:ext cx="764104" cy="334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200" b="1"/>
            <a:t>L+W+R=</a:t>
          </a:r>
        </a:p>
      </xdr:txBody>
    </xdr:sp>
    <xdr:clientData/>
  </xdr:twoCellAnchor>
  <xdr:twoCellAnchor editAs="oneCell">
    <xdr:from>
      <xdr:col>21</xdr:col>
      <xdr:colOff>381000</xdr:colOff>
      <xdr:row>21</xdr:row>
      <xdr:rowOff>7620</xdr:rowOff>
    </xdr:from>
    <xdr:to>
      <xdr:col>23</xdr:col>
      <xdr:colOff>480060</xdr:colOff>
      <xdr:row>36</xdr:row>
      <xdr:rowOff>91440</xdr:rowOff>
    </xdr:to>
    <xdr:pic>
      <xdr:nvPicPr>
        <xdr:cNvPr id="26" name="Picture 204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27580" y="5143500"/>
          <a:ext cx="1440180" cy="3192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0</xdr:colOff>
          <xdr:row>114</xdr:row>
          <xdr:rowOff>0</xdr:rowOff>
        </xdr:from>
        <xdr:to>
          <xdr:col>29</xdr:col>
          <xdr:colOff>0</xdr:colOff>
          <xdr:row>114</xdr:row>
          <xdr:rowOff>7620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152400</xdr:rowOff>
    </xdr:from>
    <xdr:to>
      <xdr:col>6</xdr:col>
      <xdr:colOff>45720</xdr:colOff>
      <xdr:row>37</xdr:row>
      <xdr:rowOff>38100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55920"/>
          <a:ext cx="2484120" cy="134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182880</xdr:colOff>
      <xdr:row>3</xdr:row>
      <xdr:rowOff>38100</xdr:rowOff>
    </xdr:from>
    <xdr:to>
      <xdr:col>8</xdr:col>
      <xdr:colOff>160020</xdr:colOff>
      <xdr:row>27</xdr:row>
      <xdr:rowOff>129540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86740"/>
          <a:ext cx="4244340" cy="448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285750</xdr:colOff>
      <xdr:row>25</xdr:row>
      <xdr:rowOff>154305</xdr:rowOff>
    </xdr:from>
    <xdr:ext cx="400174" cy="254557"/>
    <xdr:sp macro="" textlink="">
      <xdr:nvSpPr>
        <xdr:cNvPr id="4" name="TextovéPole 3"/>
        <xdr:cNvSpPr txBox="1"/>
      </xdr:nvSpPr>
      <xdr:spPr>
        <a:xfrm>
          <a:off x="2724150" y="4726305"/>
          <a:ext cx="40017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oneCellAnchor>
  <xdr:twoCellAnchor editAs="oneCell">
    <xdr:from>
      <xdr:col>6</xdr:col>
      <xdr:colOff>68580</xdr:colOff>
      <xdr:row>18</xdr:row>
      <xdr:rowOff>129540</xdr:rowOff>
    </xdr:from>
    <xdr:to>
      <xdr:col>8</xdr:col>
      <xdr:colOff>30480</xdr:colOff>
      <xdr:row>22</xdr:row>
      <xdr:rowOff>137160</xdr:rowOff>
    </xdr:to>
    <xdr:pic>
      <xdr:nvPicPr>
        <xdr:cNvPr id="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6180" y="3421380"/>
          <a:ext cx="11811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</xdr:row>
      <xdr:rowOff>152400</xdr:rowOff>
    </xdr:from>
    <xdr:to>
      <xdr:col>6</xdr:col>
      <xdr:colOff>45720</xdr:colOff>
      <xdr:row>37</xdr:row>
      <xdr:rowOff>38100</xdr:rowOff>
    </xdr:to>
    <xdr:pic>
      <xdr:nvPicPr>
        <xdr:cNvPr id="2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455920"/>
          <a:ext cx="2484120" cy="1348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182880</xdr:colOff>
      <xdr:row>3</xdr:row>
      <xdr:rowOff>91440</xdr:rowOff>
    </xdr:from>
    <xdr:to>
      <xdr:col>8</xdr:col>
      <xdr:colOff>160020</xdr:colOff>
      <xdr:row>28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640080"/>
          <a:ext cx="4244340" cy="448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285750</xdr:colOff>
      <xdr:row>25</xdr:row>
      <xdr:rowOff>154305</xdr:rowOff>
    </xdr:from>
    <xdr:ext cx="400174" cy="254557"/>
    <xdr:sp macro="" textlink="">
      <xdr:nvSpPr>
        <xdr:cNvPr id="4" name="TextovéPole 3"/>
        <xdr:cNvSpPr txBox="1"/>
      </xdr:nvSpPr>
      <xdr:spPr>
        <a:xfrm>
          <a:off x="2724150" y="4726305"/>
          <a:ext cx="400174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cs-CZ" sz="1100" b="1">
              <a:latin typeface="Arial" panose="020B0604020202020204" pitchFamily="34" charset="0"/>
              <a:cs typeface="Arial" panose="020B0604020202020204" pitchFamily="34" charset="0"/>
            </a:rPr>
            <a:t>W=</a:t>
          </a:r>
        </a:p>
      </xdr:txBody>
    </xdr:sp>
    <xdr:clientData/>
  </xdr:oneCellAnchor>
  <xdr:twoCellAnchor editAs="oneCell">
    <xdr:from>
      <xdr:col>6</xdr:col>
      <xdr:colOff>38100</xdr:colOff>
      <xdr:row>18</xdr:row>
      <xdr:rowOff>129540</xdr:rowOff>
    </xdr:from>
    <xdr:to>
      <xdr:col>8</xdr:col>
      <xdr:colOff>0</xdr:colOff>
      <xdr:row>22</xdr:row>
      <xdr:rowOff>137160</xdr:rowOff>
    </xdr:to>
    <xdr:pic>
      <xdr:nvPicPr>
        <xdr:cNvPr id="5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3421380"/>
          <a:ext cx="1181100" cy="739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CL460"/>
  <sheetViews>
    <sheetView showGridLines="0" tabSelected="1" zoomScale="70" zoomScaleNormal="70" zoomScaleSheetLayoutView="40" workbookViewId="0">
      <selection activeCell="K3" sqref="K3"/>
    </sheetView>
  </sheetViews>
  <sheetFormatPr defaultRowHeight="14.4" x14ac:dyDescent="0.3"/>
  <cols>
    <col min="1" max="1" width="2.6640625" customWidth="1"/>
    <col min="3" max="3" width="15" customWidth="1"/>
    <col min="4" max="4" width="7.109375" customWidth="1"/>
    <col min="9" max="9" width="16" customWidth="1"/>
    <col min="10" max="10" width="20.109375" customWidth="1"/>
    <col min="11" max="11" width="9.109375" customWidth="1"/>
    <col min="13" max="13" width="3.44140625" customWidth="1"/>
    <col min="14" max="14" width="15.6640625" customWidth="1"/>
    <col min="15" max="15" width="11.109375" customWidth="1"/>
    <col min="16" max="16" width="10.5546875" customWidth="1"/>
    <col min="18" max="18" width="10.88671875" bestFit="1" customWidth="1"/>
    <col min="21" max="21" width="10.44140625" customWidth="1"/>
    <col min="23" max="23" width="10.6640625" customWidth="1"/>
    <col min="26" max="26" width="11.88671875" bestFit="1" customWidth="1"/>
    <col min="27" max="27" width="11.6640625" customWidth="1"/>
    <col min="29" max="29" width="2.109375" customWidth="1"/>
    <col min="30" max="31" width="9.109375" hidden="1" customWidth="1"/>
    <col min="32" max="32" width="8.44140625" hidden="1" customWidth="1"/>
    <col min="33" max="33" width="44.33203125" hidden="1" customWidth="1"/>
    <col min="34" max="34" width="95.44140625" hidden="1" customWidth="1"/>
    <col min="35" max="35" width="91.88671875" hidden="1" customWidth="1"/>
    <col min="36" max="36" width="81.44140625" hidden="1" customWidth="1"/>
    <col min="37" max="37" width="76.5546875" hidden="1" customWidth="1"/>
    <col min="38" max="38" width="65" hidden="1" customWidth="1"/>
    <col min="39" max="39" width="60" hidden="1" customWidth="1"/>
    <col min="40" max="52" width="9.109375" hidden="1" customWidth="1"/>
    <col min="53" max="86" width="9.109375" customWidth="1"/>
  </cols>
  <sheetData>
    <row r="1" spans="1:42" ht="15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AB1" s="1"/>
      <c r="AD1" s="2" t="s">
        <v>0</v>
      </c>
      <c r="AE1" s="3">
        <f>VLOOKUP(E5,AD3:AE11,2,FALSE)</f>
        <v>1</v>
      </c>
      <c r="AF1" s="4"/>
      <c r="AG1" t="s">
        <v>1</v>
      </c>
      <c r="AH1" s="5" t="s">
        <v>2</v>
      </c>
      <c r="AI1" s="5" t="s">
        <v>3</v>
      </c>
      <c r="AJ1" s="5" t="s">
        <v>4</v>
      </c>
      <c r="AK1" s="5" t="s">
        <v>5</v>
      </c>
      <c r="AL1" s="5" t="s">
        <v>6</v>
      </c>
      <c r="AM1" s="5" t="s">
        <v>7</v>
      </c>
      <c r="AN1" s="6" t="s">
        <v>8</v>
      </c>
      <c r="AO1" s="6" t="s">
        <v>9</v>
      </c>
      <c r="AP1" s="6" t="s">
        <v>10</v>
      </c>
    </row>
    <row r="2" spans="1:42" ht="15.75" customHeight="1" thickBot="1" x14ac:dyDescent="0.35">
      <c r="A2" s="7"/>
      <c r="L2" s="8"/>
      <c r="M2" s="9"/>
      <c r="N2" s="9"/>
      <c r="O2" s="9"/>
      <c r="P2" s="9"/>
      <c r="Q2" s="10" t="str">
        <f>VLOOKUP(AG13,AG2:AR96,$AE$1+1,FALSE)</f>
        <v>VEDENÍ PRO NÍZKÝ PŘEKLAD (LL-CE)</v>
      </c>
      <c r="R2" s="10"/>
      <c r="S2" s="10"/>
      <c r="T2" s="10"/>
      <c r="U2" s="10"/>
      <c r="V2" s="10"/>
      <c r="W2" s="10"/>
      <c r="X2" s="10"/>
      <c r="Y2" s="10"/>
      <c r="Z2" s="10"/>
      <c r="AA2" s="10"/>
      <c r="AB2" s="11"/>
      <c r="AD2" s="12" t="s">
        <v>11</v>
      </c>
      <c r="AE2" s="13" t="s">
        <v>12</v>
      </c>
      <c r="AF2" s="14"/>
      <c r="AG2" t="str">
        <f>VLOOKUP(AH2,AH2:AR96,$AE$1,FALSE)</f>
        <v xml:space="preserve">Zvolit jazyk: </v>
      </c>
      <c r="AH2" t="s">
        <v>13</v>
      </c>
      <c r="AI2" t="s">
        <v>14</v>
      </c>
      <c r="AJ2" t="s">
        <v>15</v>
      </c>
      <c r="AK2" t="s">
        <v>16</v>
      </c>
      <c r="AL2" t="s">
        <v>17</v>
      </c>
      <c r="AM2" t="s">
        <v>18</v>
      </c>
      <c r="AN2" t="s">
        <v>19</v>
      </c>
      <c r="AO2" t="s">
        <v>20</v>
      </c>
      <c r="AP2" t="s">
        <v>21</v>
      </c>
    </row>
    <row r="3" spans="1:42" ht="19.5" customHeight="1" thickBot="1" x14ac:dyDescent="0.4">
      <c r="A3" s="7"/>
      <c r="B3" s="15" t="s">
        <v>22</v>
      </c>
      <c r="C3" s="16"/>
      <c r="D3" s="17"/>
      <c r="E3" s="8"/>
      <c r="F3" s="8"/>
      <c r="G3" s="8"/>
      <c r="H3" s="18" t="str">
        <f>VLOOKUP(AG3,AG2:AR96,$AE$1+1,FALSE)</f>
        <v>Šířka otvoru</v>
      </c>
      <c r="I3" s="18"/>
      <c r="K3" s="19"/>
      <c r="L3" s="8" t="s">
        <v>23</v>
      </c>
      <c r="M3" s="8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1"/>
      <c r="AD3" s="22" t="s">
        <v>2</v>
      </c>
      <c r="AE3" s="23">
        <v>1</v>
      </c>
      <c r="AF3" s="4"/>
      <c r="AG3" t="str">
        <f>VLOOKUP(AH3,AH3:AR96,$AE$1,FALSE)</f>
        <v>Šířka otvoru</v>
      </c>
      <c r="AH3" t="s">
        <v>24</v>
      </c>
      <c r="AI3" t="s">
        <v>25</v>
      </c>
      <c r="AJ3" t="s">
        <v>26</v>
      </c>
      <c r="AK3" t="s">
        <v>27</v>
      </c>
      <c r="AL3" t="s">
        <v>28</v>
      </c>
      <c r="AM3" t="s">
        <v>29</v>
      </c>
      <c r="AN3" t="s">
        <v>30</v>
      </c>
      <c r="AO3" t="s">
        <v>31</v>
      </c>
      <c r="AP3" t="s">
        <v>32</v>
      </c>
    </row>
    <row r="4" spans="1:42" ht="18.600000000000001" thickBot="1" x14ac:dyDescent="0.4">
      <c r="A4" s="7"/>
      <c r="B4" s="16" t="s">
        <v>14</v>
      </c>
      <c r="C4" s="16"/>
      <c r="D4" s="17"/>
      <c r="F4" s="8"/>
      <c r="G4" s="8"/>
      <c r="H4" s="18"/>
      <c r="I4" s="18"/>
      <c r="J4" s="24"/>
      <c r="K4" s="8"/>
      <c r="L4" s="8"/>
      <c r="M4" s="8"/>
      <c r="R4" s="8"/>
      <c r="S4" s="8"/>
      <c r="T4" s="8"/>
      <c r="X4" s="25" t="s">
        <v>33</v>
      </c>
      <c r="Y4" s="25"/>
      <c r="Z4" s="25"/>
      <c r="AA4" s="25"/>
      <c r="AB4" s="26"/>
      <c r="AD4" s="22" t="s">
        <v>3</v>
      </c>
      <c r="AE4" s="23">
        <v>2</v>
      </c>
      <c r="AF4" s="4"/>
      <c r="AG4" t="str">
        <f>VLOOKUP(AH4,AH4:AR97,$AE$1,FALSE)</f>
        <v>Výška otvoru</v>
      </c>
      <c r="AH4" t="s">
        <v>34</v>
      </c>
      <c r="AI4" t="s">
        <v>35</v>
      </c>
      <c r="AJ4" t="s">
        <v>36</v>
      </c>
      <c r="AK4" t="s">
        <v>37</v>
      </c>
      <c r="AL4" t="s">
        <v>38</v>
      </c>
      <c r="AM4" t="s">
        <v>39</v>
      </c>
      <c r="AN4" t="s">
        <v>40</v>
      </c>
      <c r="AO4" t="s">
        <v>41</v>
      </c>
      <c r="AP4" t="s">
        <v>42</v>
      </c>
    </row>
    <row r="5" spans="1:42" ht="19.5" customHeight="1" thickBot="1" x14ac:dyDescent="0.4">
      <c r="A5" s="7"/>
      <c r="B5" s="27" t="s">
        <v>43</v>
      </c>
      <c r="C5" s="16"/>
      <c r="D5" s="28"/>
      <c r="E5" s="19" t="s">
        <v>2</v>
      </c>
      <c r="F5" s="8"/>
      <c r="G5" s="8"/>
      <c r="H5" s="18" t="str">
        <f>VLOOKUP(AG4,AG2:AR96,$AE$1+1,FALSE)</f>
        <v>Výška otvoru</v>
      </c>
      <c r="I5" s="18"/>
      <c r="K5" s="19"/>
      <c r="L5" s="8" t="s">
        <v>23</v>
      </c>
      <c r="M5" s="8"/>
      <c r="O5" s="29" t="str">
        <f>VLOOKUP(AH99,AH99:AR175,$AE$1,FALSE)</f>
        <v>Prosím, vyplňte pole, která jsou označena barevně!</v>
      </c>
      <c r="P5" s="8"/>
      <c r="Q5" s="8"/>
      <c r="R5" s="8"/>
      <c r="S5" s="8"/>
      <c r="T5" s="8"/>
      <c r="X5" s="30"/>
      <c r="Y5" s="30"/>
      <c r="Z5" s="30"/>
      <c r="AA5" s="8"/>
      <c r="AB5" s="7"/>
      <c r="AD5" s="22" t="s">
        <v>4</v>
      </c>
      <c r="AE5" s="23">
        <v>3</v>
      </c>
      <c r="AF5" s="4"/>
      <c r="AG5" t="str">
        <f>VLOOKUP(AH5,AH5:AR96,$AE$1,FALSE)</f>
        <v>POHLED ZEVNITŘ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</row>
    <row r="6" spans="1:42" ht="23.25" customHeight="1" thickBot="1" x14ac:dyDescent="0.35">
      <c r="A6" s="7"/>
      <c r="B6" s="27" t="s">
        <v>53</v>
      </c>
      <c r="C6" s="16"/>
      <c r="D6" s="28"/>
      <c r="E6" s="8"/>
      <c r="F6" s="8"/>
      <c r="H6" s="8"/>
      <c r="I6" s="8"/>
      <c r="J6" s="24"/>
      <c r="K6" s="8"/>
      <c r="L6" s="8"/>
      <c r="M6" s="8"/>
      <c r="N6" s="8"/>
      <c r="O6" s="8"/>
      <c r="P6" s="8"/>
      <c r="Q6" s="8"/>
      <c r="R6" s="8"/>
      <c r="S6" s="8"/>
      <c r="T6" s="8"/>
      <c r="X6" s="30"/>
      <c r="Y6" s="30"/>
      <c r="Z6" s="30"/>
      <c r="AA6" s="8"/>
      <c r="AB6" s="7"/>
      <c r="AD6" s="22" t="s">
        <v>5</v>
      </c>
      <c r="AE6" s="23">
        <v>4</v>
      </c>
      <c r="AF6" s="4"/>
      <c r="AG6" t="str">
        <f>VLOOKUP(AH6,AH6:AR100,$AE$1,FALSE)</f>
        <v>ŘEZ A-A</v>
      </c>
      <c r="AH6" t="s">
        <v>54</v>
      </c>
      <c r="AI6" t="s">
        <v>55</v>
      </c>
      <c r="AJ6" t="s">
        <v>56</v>
      </c>
      <c r="AK6" t="s">
        <v>57</v>
      </c>
      <c r="AL6" t="s">
        <v>58</v>
      </c>
      <c r="AM6" t="s">
        <v>59</v>
      </c>
      <c r="AN6" t="s">
        <v>60</v>
      </c>
      <c r="AO6" t="s">
        <v>61</v>
      </c>
      <c r="AP6" t="s">
        <v>62</v>
      </c>
    </row>
    <row r="7" spans="1:42" ht="18.600000000000001" thickBot="1" x14ac:dyDescent="0.4">
      <c r="A7" s="7"/>
      <c r="B7" s="27" t="s">
        <v>63</v>
      </c>
      <c r="C7" s="16"/>
      <c r="D7" s="8"/>
      <c r="E7" s="8"/>
      <c r="H7" s="31" t="str">
        <f>VLOOKUP(AG101,AG8:AR101,$AE$1+1,FALSE)</f>
        <v>Ovládání</v>
      </c>
      <c r="I7" s="8"/>
      <c r="J7" s="8"/>
      <c r="K7" s="32"/>
      <c r="L7" s="32"/>
      <c r="M7" s="32"/>
      <c r="N7" s="8"/>
      <c r="O7" s="33" t="str">
        <f>IF(OR(K7=AG102,K7=""),"",VLOOKUP(AG106,AG8:AR106,$AE$1+1,FALSE))</f>
        <v/>
      </c>
      <c r="P7" s="33"/>
      <c r="Q7" s="8"/>
      <c r="R7" s="32"/>
      <c r="S7" s="32"/>
      <c r="T7" s="8"/>
      <c r="X7" s="30"/>
      <c r="Y7" s="30"/>
      <c r="Z7" s="30"/>
      <c r="AA7" s="8"/>
      <c r="AB7" s="7"/>
      <c r="AD7" s="34" t="s">
        <v>6</v>
      </c>
      <c r="AE7" s="35">
        <v>5</v>
      </c>
      <c r="AF7" s="24"/>
      <c r="AG7" t="str">
        <f>VLOOKUP(AH7,AH7:AR100,$AE$1,FALSE)</f>
        <v>ŘEZ B-B</v>
      </c>
      <c r="AH7" t="s">
        <v>64</v>
      </c>
      <c r="AI7" t="s">
        <v>65</v>
      </c>
      <c r="AJ7" t="s">
        <v>66</v>
      </c>
      <c r="AK7" t="s">
        <v>67</v>
      </c>
      <c r="AL7" t="s">
        <v>68</v>
      </c>
      <c r="AM7" t="s">
        <v>69</v>
      </c>
      <c r="AN7" t="s">
        <v>70</v>
      </c>
      <c r="AO7" t="s">
        <v>71</v>
      </c>
      <c r="AP7" t="s">
        <v>72</v>
      </c>
    </row>
    <row r="8" spans="1:42" ht="18.600000000000001" thickBot="1" x14ac:dyDescent="0.4">
      <c r="A8" s="36"/>
      <c r="B8" s="37" t="s">
        <v>18</v>
      </c>
      <c r="C8" s="38"/>
      <c r="D8" s="29"/>
      <c r="E8" s="29"/>
      <c r="F8" s="29"/>
      <c r="G8" s="39"/>
      <c r="L8" s="8"/>
      <c r="M8" s="8"/>
      <c r="P8" s="8"/>
      <c r="Q8" s="8"/>
      <c r="R8" s="8"/>
      <c r="T8" s="8"/>
      <c r="X8" s="30"/>
      <c r="Y8" s="30"/>
      <c r="Z8" s="30"/>
      <c r="AA8" s="8"/>
      <c r="AB8" s="7"/>
      <c r="AD8" s="34" t="s">
        <v>7</v>
      </c>
      <c r="AE8" s="40">
        <v>6</v>
      </c>
      <c r="AG8" t="str">
        <f>VLOOKUP(AH8,AH8:AR101,$AE$1,FALSE)</f>
        <v>POZNÁMKA:</v>
      </c>
      <c r="AH8" t="s">
        <v>73</v>
      </c>
      <c r="AI8" t="s">
        <v>74</v>
      </c>
      <c r="AJ8" t="s">
        <v>75</v>
      </c>
      <c r="AK8" t="s">
        <v>76</v>
      </c>
      <c r="AL8" t="s">
        <v>77</v>
      </c>
      <c r="AM8" t="s">
        <v>78</v>
      </c>
      <c r="AN8" t="s">
        <v>79</v>
      </c>
      <c r="AO8" t="s">
        <v>80</v>
      </c>
      <c r="AP8" t="s">
        <v>81</v>
      </c>
    </row>
    <row r="9" spans="1:42" ht="18.600000000000001" thickBot="1" x14ac:dyDescent="0.4">
      <c r="A9" s="36"/>
      <c r="B9" s="27" t="s">
        <v>19</v>
      </c>
      <c r="C9" s="27"/>
      <c r="D9" s="29"/>
      <c r="E9" s="29"/>
      <c r="F9" s="29"/>
      <c r="G9" s="39"/>
      <c r="H9" s="41" t="str">
        <f>AG119</f>
        <v>Typ panelu</v>
      </c>
      <c r="K9" s="42"/>
      <c r="L9" s="42"/>
      <c r="M9" s="42"/>
      <c r="P9" s="8"/>
      <c r="Q9" s="18" t="str">
        <f>VLOOKUP($AG$6,$AG$2:$AR$96,$AE$1+1,FALSE)</f>
        <v>ŘEZ A-A</v>
      </c>
      <c r="R9" s="8"/>
      <c r="T9" s="8"/>
      <c r="X9" s="30"/>
      <c r="Y9" s="30"/>
      <c r="Z9" s="30"/>
      <c r="AA9" s="8"/>
      <c r="AB9" s="7"/>
      <c r="AD9" s="34" t="s">
        <v>8</v>
      </c>
      <c r="AE9" s="40">
        <v>7</v>
      </c>
    </row>
    <row r="10" spans="1:42" ht="15" thickBot="1" x14ac:dyDescent="0.35">
      <c r="A10" s="36"/>
      <c r="B10" s="27" t="s">
        <v>20</v>
      </c>
      <c r="C10" s="27"/>
      <c r="D10" s="8"/>
      <c r="E10" s="8"/>
      <c r="F10" s="8"/>
      <c r="G10" s="8"/>
      <c r="N10" s="43" t="s">
        <v>82</v>
      </c>
      <c r="O10" s="44" t="str">
        <f>L59</f>
        <v/>
      </c>
      <c r="T10" s="45"/>
      <c r="U10" s="8"/>
      <c r="V10" s="8"/>
      <c r="W10" s="8"/>
      <c r="AA10" s="8"/>
      <c r="AB10" s="7"/>
      <c r="AD10" s="34" t="s">
        <v>9</v>
      </c>
      <c r="AE10" s="40">
        <v>8</v>
      </c>
    </row>
    <row r="11" spans="1:42" ht="18.600000000000001" thickBot="1" x14ac:dyDescent="0.4">
      <c r="A11" s="36"/>
      <c r="B11" s="27" t="s">
        <v>21</v>
      </c>
      <c r="C11" s="27"/>
      <c r="D11" s="8"/>
      <c r="E11" s="8"/>
      <c r="F11" s="8"/>
      <c r="G11" s="8"/>
      <c r="H11" s="31"/>
      <c r="I11" s="8"/>
      <c r="J11" s="8"/>
      <c r="K11" s="46"/>
      <c r="L11" s="46"/>
      <c r="M11" s="46"/>
      <c r="N11" s="47"/>
      <c r="O11" s="48" t="str">
        <f>"S= "&amp;P64</f>
        <v xml:space="preserve">S= </v>
      </c>
      <c r="P11" s="49"/>
      <c r="R11" s="46"/>
      <c r="S11" s="46"/>
      <c r="T11" s="45"/>
      <c r="U11" s="8"/>
      <c r="V11" s="8"/>
      <c r="W11" s="8"/>
      <c r="X11" s="8"/>
      <c r="Z11" s="8"/>
      <c r="AA11" s="8"/>
      <c r="AB11" s="7"/>
      <c r="AD11" s="34" t="s">
        <v>10</v>
      </c>
      <c r="AE11" s="40">
        <v>9</v>
      </c>
    </row>
    <row r="12" spans="1:42" ht="18" x14ac:dyDescent="0.35">
      <c r="B12" s="50"/>
      <c r="C12" s="8"/>
      <c r="D12" s="51" t="str">
        <f>VLOOKUP(AG5,AG2:AR96,$AE$1+1,FALSE)</f>
        <v>POHLED ZEVNITŘ</v>
      </c>
      <c r="E12" s="51"/>
      <c r="F12" s="51"/>
      <c r="G12" s="8"/>
      <c r="H12" s="52"/>
      <c r="I12" s="8"/>
      <c r="J12" s="8"/>
      <c r="K12" s="53"/>
      <c r="L12" s="53"/>
      <c r="M12" s="53"/>
      <c r="N12" s="53"/>
      <c r="O12" s="53" t="str">
        <f>"X= "&amp;K5</f>
        <v xml:space="preserve">X= </v>
      </c>
      <c r="P12" s="53"/>
      <c r="Q12" s="53"/>
      <c r="R12" s="53"/>
      <c r="S12" s="53"/>
      <c r="T12" s="45"/>
      <c r="U12" s="8"/>
      <c r="V12" s="8"/>
      <c r="W12" s="8"/>
      <c r="X12" s="8"/>
      <c r="Z12" s="8"/>
      <c r="AA12" s="8"/>
      <c r="AB12" s="7"/>
    </row>
    <row r="13" spans="1:42" x14ac:dyDescent="0.3">
      <c r="B13" s="54"/>
      <c r="C13" s="55"/>
      <c r="D13" s="17"/>
      <c r="E13" s="17"/>
      <c r="F13" s="56"/>
      <c r="G13" s="55"/>
      <c r="H13" s="52"/>
      <c r="J13" s="8"/>
      <c r="K13" s="8"/>
      <c r="L13" s="57"/>
      <c r="M13" s="57"/>
      <c r="N13" s="57"/>
      <c r="P13" s="43" t="s">
        <v>83</v>
      </c>
      <c r="Q13" s="58">
        <f>IF(O10&lt;3000,0,IF(AND(O10&gt;=3000,O10&lt;4500),K5/2,IF(O10&gt;=4500,((K5/3)*2),0)))</f>
        <v>0</v>
      </c>
      <c r="R13" s="57"/>
      <c r="S13" s="59"/>
      <c r="T13" s="8"/>
      <c r="U13" s="8"/>
      <c r="V13" s="8"/>
      <c r="W13" s="8"/>
      <c r="X13" s="8"/>
      <c r="Y13" s="8"/>
      <c r="Z13" s="8"/>
      <c r="AA13" s="8"/>
      <c r="AB13" s="7"/>
      <c r="AG13" t="str">
        <f>VLOOKUP(AH13,AH13:AR105,$AE$1,FALSE)</f>
        <v>VEDENÍ PRO NÍZKÝ PŘEKLAD (LL-CE)</v>
      </c>
      <c r="AH13" t="s">
        <v>84</v>
      </c>
      <c r="AI13" t="s">
        <v>85</v>
      </c>
      <c r="AJ13" t="s">
        <v>86</v>
      </c>
      <c r="AK13" t="s">
        <v>87</v>
      </c>
      <c r="AL13" t="s">
        <v>88</v>
      </c>
      <c r="AM13" t="s">
        <v>89</v>
      </c>
      <c r="AN13" t="s">
        <v>90</v>
      </c>
      <c r="AO13" t="s">
        <v>91</v>
      </c>
      <c r="AP13" t="s">
        <v>92</v>
      </c>
    </row>
    <row r="14" spans="1:42" ht="15" customHeight="1" x14ac:dyDescent="0.3">
      <c r="B14" s="50"/>
      <c r="D14" s="8"/>
      <c r="E14" s="8"/>
      <c r="F14" s="8"/>
      <c r="I14" s="8"/>
      <c r="J14" s="8"/>
      <c r="K14" s="8"/>
      <c r="L14" s="8"/>
      <c r="M14" s="8"/>
      <c r="N14" s="8"/>
      <c r="O14" s="8"/>
      <c r="Q14" s="43"/>
      <c r="R14" s="60">
        <f>IF(O10&gt;=4500,K5/3,0)</f>
        <v>0</v>
      </c>
      <c r="S14" s="59"/>
      <c r="T14" s="8"/>
      <c r="U14" s="8"/>
      <c r="V14" s="8"/>
      <c r="W14" s="8"/>
      <c r="X14" s="8"/>
      <c r="Y14" s="8"/>
      <c r="Z14" s="8"/>
      <c r="AA14" s="8"/>
      <c r="AB14" s="7"/>
      <c r="AG14" t="str">
        <f>VLOOKUP(AH14,AH14:AR106,$AE$1,FALSE)</f>
        <v>PRUŽINY NAD PŘEKLADEM</v>
      </c>
      <c r="AH14" t="s">
        <v>93</v>
      </c>
      <c r="AI14" t="s">
        <v>94</v>
      </c>
      <c r="AJ14" t="s">
        <v>95</v>
      </c>
      <c r="AK14" t="s">
        <v>96</v>
      </c>
      <c r="AL14" t="s">
        <v>97</v>
      </c>
      <c r="AM14" t="s">
        <v>98</v>
      </c>
      <c r="AN14" t="s">
        <v>99</v>
      </c>
      <c r="AO14" t="s">
        <v>100</v>
      </c>
      <c r="AP14" t="s">
        <v>101</v>
      </c>
    </row>
    <row r="15" spans="1:42" x14ac:dyDescent="0.3">
      <c r="B15" s="50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61"/>
      <c r="Q15" s="61"/>
      <c r="R15" s="61"/>
      <c r="S15" s="59"/>
      <c r="T15" s="62" t="str">
        <f>"F= "&amp;$P$58</f>
        <v>F= 230</v>
      </c>
      <c r="U15" s="8"/>
      <c r="V15" s="8"/>
      <c r="W15" s="8"/>
      <c r="X15" s="8"/>
      <c r="Y15" s="8"/>
      <c r="Z15" s="8"/>
      <c r="AA15" s="8"/>
      <c r="AB15" s="7"/>
      <c r="AG15" t="str">
        <f>VLOOKUP(AH15,AH15:AR107,$AE$1,FALSE)</f>
        <v>pro HL&gt;600 a HL&lt;=1200</v>
      </c>
      <c r="AH15" t="s">
        <v>102</v>
      </c>
      <c r="AI15" t="s">
        <v>103</v>
      </c>
      <c r="AJ15" t="s">
        <v>104</v>
      </c>
      <c r="AK15" t="s">
        <v>105</v>
      </c>
      <c r="AL15" t="s">
        <v>106</v>
      </c>
      <c r="AM15" t="s">
        <v>107</v>
      </c>
      <c r="AN15" t="s">
        <v>108</v>
      </c>
      <c r="AO15" t="s">
        <v>109</v>
      </c>
      <c r="AP15" t="s">
        <v>110</v>
      </c>
    </row>
    <row r="16" spans="1:42" ht="15" customHeight="1" x14ac:dyDescent="0.3">
      <c r="B16" s="63" t="str">
        <f>"F= "&amp;IF(K3="","",P58)</f>
        <v xml:space="preserve">F= </v>
      </c>
      <c r="C16" s="64"/>
      <c r="D16" s="8"/>
      <c r="E16" s="8"/>
      <c r="F16" s="8"/>
      <c r="G16" s="8"/>
      <c r="I16" s="65"/>
      <c r="J16" s="8"/>
      <c r="K16" s="8"/>
      <c r="L16" s="8"/>
      <c r="M16" s="8"/>
      <c r="N16" s="8"/>
      <c r="O16" s="8"/>
      <c r="P16" s="8"/>
      <c r="Q16" s="8"/>
      <c r="T16" s="62"/>
      <c r="U16" s="66"/>
      <c r="V16" s="8"/>
      <c r="W16" s="8"/>
      <c r="X16" s="8"/>
      <c r="Y16" s="8"/>
      <c r="Z16" s="8"/>
      <c r="AA16" s="8"/>
      <c r="AB16" s="7"/>
      <c r="AG16" t="str">
        <f>VLOOKUP(AH16,AH16:AR108,$AE$1,FALSE)</f>
        <v>PANEL 40mm</v>
      </c>
      <c r="AH16" t="s">
        <v>111</v>
      </c>
      <c r="AI16" t="s">
        <v>112</v>
      </c>
      <c r="AJ16" t="s">
        <v>113</v>
      </c>
      <c r="AK16" t="s">
        <v>114</v>
      </c>
      <c r="AL16" t="s">
        <v>115</v>
      </c>
      <c r="AM16" t="s">
        <v>116</v>
      </c>
      <c r="AN16" t="s">
        <v>113</v>
      </c>
      <c r="AO16" t="s">
        <v>117</v>
      </c>
      <c r="AP16" t="s">
        <v>118</v>
      </c>
    </row>
    <row r="17" spans="1:56" ht="15" customHeight="1" x14ac:dyDescent="0.3">
      <c r="B17" s="63"/>
      <c r="C17" s="64"/>
      <c r="D17" s="8"/>
      <c r="E17" s="8"/>
      <c r="F17" s="8"/>
      <c r="G17" s="8"/>
      <c r="H17" s="65"/>
      <c r="I17" s="65"/>
      <c r="J17" s="8"/>
      <c r="K17" s="8"/>
      <c r="L17" s="8"/>
      <c r="M17" s="8"/>
      <c r="N17" s="8"/>
      <c r="O17" s="8"/>
      <c r="P17" s="8"/>
      <c r="Q17" s="8"/>
      <c r="R17" s="8"/>
      <c r="T17" s="62"/>
      <c r="U17" s="66"/>
      <c r="V17" s="8"/>
      <c r="W17" s="8"/>
      <c r="X17" s="8"/>
      <c r="Y17" s="8"/>
      <c r="Z17" s="8"/>
      <c r="AA17" s="8"/>
      <c r="AB17" s="7"/>
      <c r="AG17" t="str">
        <f>VLOOKUP(AH17,AH17:AR109,$AE$1,FALSE)</f>
        <v>Max. W x H 5000x5000, max. 24 m2 (300 kg)</v>
      </c>
      <c r="AH17" t="s">
        <v>119</v>
      </c>
      <c r="AI17" t="s">
        <v>119</v>
      </c>
      <c r="AJ17" t="s">
        <v>119</v>
      </c>
      <c r="AK17" t="s">
        <v>119</v>
      </c>
      <c r="AL17" t="s">
        <v>119</v>
      </c>
      <c r="AM17" t="s">
        <v>120</v>
      </c>
      <c r="AN17" t="s">
        <v>119</v>
      </c>
      <c r="AO17" t="s">
        <v>119</v>
      </c>
      <c r="AP17" t="s">
        <v>121</v>
      </c>
    </row>
    <row r="18" spans="1:56" ht="15" customHeight="1" x14ac:dyDescent="0.3">
      <c r="B18" s="63"/>
      <c r="C18" s="64"/>
      <c r="D18" s="8"/>
      <c r="E18" s="8"/>
      <c r="F18" s="8"/>
      <c r="G18" s="8"/>
      <c r="H18" s="67"/>
      <c r="I18" s="67"/>
      <c r="J18" s="8"/>
      <c r="K18" s="8"/>
      <c r="L18" s="8"/>
      <c r="M18" s="8"/>
      <c r="N18" s="8"/>
      <c r="O18" s="8"/>
      <c r="P18" s="8"/>
      <c r="Q18" s="8"/>
      <c r="R18" s="8"/>
      <c r="T18" s="59"/>
      <c r="U18" s="66"/>
      <c r="V18" s="8"/>
      <c r="W18" s="8"/>
      <c r="X18" s="8"/>
      <c r="Y18" s="8"/>
      <c r="Z18" s="8"/>
      <c r="AA18" s="8"/>
      <c r="AB18" s="7"/>
    </row>
    <row r="19" spans="1:56" ht="15" customHeight="1" x14ac:dyDescent="0.3">
      <c r="B19" s="63"/>
      <c r="C19" s="8"/>
      <c r="D19" s="8"/>
      <c r="E19" s="8"/>
      <c r="F19" s="8"/>
      <c r="G19" s="8"/>
      <c r="H19" s="67"/>
      <c r="I19" s="67"/>
      <c r="J19" s="8"/>
      <c r="K19" s="8"/>
      <c r="L19" s="8"/>
      <c r="M19" s="8"/>
      <c r="N19" s="8"/>
      <c r="O19" s="8"/>
      <c r="P19" s="8"/>
      <c r="Q19" s="8"/>
      <c r="R19" s="8"/>
      <c r="T19" s="59"/>
      <c r="U19" s="66"/>
      <c r="V19" s="8"/>
      <c r="W19" s="8"/>
      <c r="X19" s="8"/>
      <c r="Y19" s="8"/>
      <c r="Z19" s="8"/>
      <c r="AA19" s="8"/>
      <c r="AB19" s="7"/>
    </row>
    <row r="20" spans="1:56" ht="29.25" customHeight="1" x14ac:dyDescent="0.3">
      <c r="A20" t="s">
        <v>122</v>
      </c>
      <c r="B20" s="63"/>
      <c r="C20" s="6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69"/>
      <c r="T20" s="59"/>
      <c r="U20" s="70"/>
      <c r="V20" s="8"/>
      <c r="W20" s="8"/>
      <c r="X20" s="8"/>
      <c r="Y20" s="8"/>
      <c r="Z20" s="8"/>
      <c r="AA20" s="8"/>
      <c r="AB20" s="7"/>
    </row>
    <row r="21" spans="1:56" ht="54" customHeight="1" x14ac:dyDescent="0.3">
      <c r="B21" s="71"/>
      <c r="C21" s="68"/>
      <c r="D21" s="8"/>
      <c r="E21" s="8"/>
      <c r="F21" s="8"/>
      <c r="G21" s="8"/>
      <c r="H21" s="69"/>
      <c r="I21" s="72"/>
      <c r="J21" s="73" t="str">
        <f>AG118</f>
        <v>Jekl 80x40x2 (pozink) je součástí dodávky. Musí se pevně přikotvit ke stropu minimálně na 3 místech (u vrat do 10m2 stačí na 2 místech)</v>
      </c>
      <c r="K21" s="73"/>
      <c r="L21" s="73"/>
      <c r="M21" s="73"/>
      <c r="N21" s="73"/>
      <c r="O21" s="8"/>
      <c r="P21" s="8"/>
      <c r="Q21" s="8"/>
      <c r="R21" s="8"/>
      <c r="S21" s="69"/>
      <c r="T21" s="68" t="str">
        <f>"H= "&amp;K5</f>
        <v xml:space="preserve">H= </v>
      </c>
      <c r="U21" s="74"/>
      <c r="V21" s="8"/>
      <c r="W21" s="8"/>
      <c r="X21" s="8"/>
      <c r="Y21" s="8"/>
      <c r="Z21" s="8"/>
      <c r="AA21" s="8"/>
      <c r="AB21" s="7"/>
      <c r="AG21" t="str">
        <f>VLOOKUP(AH21,AH21:AR113,$AE$1,FALSE)</f>
        <v>Montáž na cihlové zdivo</v>
      </c>
      <c r="AH21" t="s">
        <v>123</v>
      </c>
      <c r="AI21" t="s">
        <v>124</v>
      </c>
      <c r="AJ21" t="s">
        <v>125</v>
      </c>
      <c r="AK21" t="s">
        <v>126</v>
      </c>
      <c r="AL21" t="s">
        <v>127</v>
      </c>
      <c r="AM21" t="s">
        <v>128</v>
      </c>
      <c r="AN21" t="s">
        <v>129</v>
      </c>
      <c r="AO21" t="s">
        <v>130</v>
      </c>
      <c r="AP21" t="s">
        <v>131</v>
      </c>
      <c r="BD21" s="75"/>
    </row>
    <row r="22" spans="1:56" ht="15.6" x14ac:dyDescent="0.3">
      <c r="B22" s="76" t="str">
        <f>"H= "&amp;K5</f>
        <v xml:space="preserve">H= </v>
      </c>
      <c r="C22" s="77"/>
      <c r="D22" s="8"/>
      <c r="E22" s="8"/>
      <c r="F22" s="8"/>
      <c r="G22" s="8"/>
      <c r="H22" s="69"/>
      <c r="I22" s="78" t="str">
        <f>AG110</f>
        <v>nezbytný boční prostor</v>
      </c>
      <c r="J22" s="8"/>
      <c r="K22" s="8"/>
      <c r="L22" s="8"/>
      <c r="M22" s="8"/>
      <c r="N22" s="8"/>
      <c r="O22" s="8"/>
      <c r="P22" s="8"/>
      <c r="Q22" s="8"/>
      <c r="R22" s="8"/>
      <c r="S22" s="69"/>
      <c r="T22" s="68"/>
      <c r="U22" s="79"/>
      <c r="X22" s="8"/>
      <c r="Y22" s="30" t="str">
        <f>VLOOKUP(AG21,AG2:AR96,$AE$1+1,FALSE)</f>
        <v>Montáž na cihlové zdivo</v>
      </c>
      <c r="Z22" s="30"/>
      <c r="AA22" s="8"/>
      <c r="AB22" s="7"/>
      <c r="AG22" t="str">
        <f>VLOOKUP(AH22,AH22:AR114,$AE$1,FALSE)</f>
        <v>Montáž na porobeton</v>
      </c>
      <c r="AH22" t="s">
        <v>132</v>
      </c>
      <c r="AI22" t="s">
        <v>133</v>
      </c>
      <c r="AJ22" t="s">
        <v>134</v>
      </c>
      <c r="AK22" t="s">
        <v>135</v>
      </c>
      <c r="AL22" t="s">
        <v>136</v>
      </c>
      <c r="AM22" t="s">
        <v>137</v>
      </c>
      <c r="AN22" t="s">
        <v>138</v>
      </c>
      <c r="AO22" t="s">
        <v>139</v>
      </c>
      <c r="AP22" t="s">
        <v>140</v>
      </c>
    </row>
    <row r="23" spans="1:56" ht="15.75" customHeight="1" x14ac:dyDescent="0.3">
      <c r="B23" s="76"/>
      <c r="C23" s="77"/>
      <c r="D23" s="8"/>
      <c r="E23" s="8"/>
      <c r="F23" s="8"/>
      <c r="G23" s="8"/>
      <c r="H23" s="8"/>
      <c r="I23" s="80" t="str">
        <f>VLOOKUP(AG49,AG2:AR96,$AE$1+1,FALSE)</f>
        <v>nezbytný boční prostor pro motor nebo řetězový pohon ( L nebo R )</v>
      </c>
      <c r="J23" s="8"/>
      <c r="K23" s="8"/>
      <c r="L23" s="8"/>
      <c r="M23" s="8"/>
      <c r="N23" s="8"/>
      <c r="O23" s="8"/>
      <c r="P23" s="8"/>
      <c r="Q23" s="8"/>
      <c r="R23" s="8"/>
      <c r="S23" s="69"/>
      <c r="T23" s="81"/>
      <c r="U23" s="79"/>
      <c r="X23" s="8"/>
      <c r="Y23" s="30"/>
      <c r="Z23" s="30"/>
      <c r="AA23" s="8"/>
      <c r="AB23" s="7"/>
      <c r="AG23" t="str">
        <f>VLOOKUP(AH23,AH23:AR115,$AE$1,FALSE)</f>
        <v>Montáž na opláštění</v>
      </c>
      <c r="AH23" t="s">
        <v>141</v>
      </c>
      <c r="AI23" t="s">
        <v>142</v>
      </c>
      <c r="AJ23" t="s">
        <v>143</v>
      </c>
      <c r="AK23" t="s">
        <v>144</v>
      </c>
      <c r="AL23" t="s">
        <v>145</v>
      </c>
      <c r="AM23" t="s">
        <v>146</v>
      </c>
      <c r="AN23" t="s">
        <v>147</v>
      </c>
      <c r="AO23" t="s">
        <v>148</v>
      </c>
      <c r="AP23" t="s">
        <v>149</v>
      </c>
    </row>
    <row r="24" spans="1:56" ht="15.75" customHeight="1" x14ac:dyDescent="0.3">
      <c r="B24" s="76"/>
      <c r="C24" s="77"/>
      <c r="D24" s="8"/>
      <c r="E24" s="8"/>
      <c r="F24" s="8"/>
      <c r="G24" s="8"/>
      <c r="H24" s="8"/>
      <c r="I24" s="82"/>
      <c r="J24" s="8"/>
      <c r="K24" s="8"/>
      <c r="L24" s="8"/>
      <c r="M24" s="8"/>
      <c r="N24" s="8"/>
      <c r="O24" s="8"/>
      <c r="P24" s="8"/>
      <c r="Q24" s="8"/>
      <c r="R24" s="8"/>
      <c r="S24" s="69"/>
      <c r="T24" s="81"/>
      <c r="U24" s="79"/>
      <c r="X24" s="8"/>
      <c r="Y24" s="30"/>
      <c r="Z24" s="30"/>
      <c r="AA24" s="8"/>
      <c r="AB24" s="7"/>
    </row>
    <row r="25" spans="1:56" ht="15.6" x14ac:dyDescent="0.3">
      <c r="B25" s="76"/>
      <c r="C25" s="77"/>
      <c r="D25" s="8"/>
      <c r="E25" s="8"/>
      <c r="F25" s="8"/>
      <c r="G25" s="8"/>
      <c r="H25" s="8"/>
      <c r="I25" s="80" t="str">
        <f>VLOOKUP(AG50,AG2:AR96,$AE$1+1,FALSE)</f>
        <v>montážní plocha pro řídící jednotku motoru, rozměr 250 x 400 mm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X25" s="8"/>
      <c r="Y25" s="30"/>
      <c r="Z25" s="30"/>
      <c r="AA25" s="8"/>
      <c r="AB25" s="7"/>
    </row>
    <row r="26" spans="1:56" ht="15.6" x14ac:dyDescent="0.3">
      <c r="A26" s="7"/>
      <c r="B26" s="83"/>
      <c r="C26" s="77"/>
      <c r="D26" s="8"/>
      <c r="E26" s="8"/>
      <c r="F26" s="8"/>
      <c r="G26" s="8"/>
      <c r="H26" s="8"/>
      <c r="I26" s="80" t="str">
        <f>VLOOKUP(AG51,AG2:AR96,$AE$1+1,FALSE)</f>
        <v>osa cca 1.400 až 1.500 mm od podlahy</v>
      </c>
      <c r="J26" s="84"/>
      <c r="K26" s="30"/>
      <c r="L26" s="30"/>
      <c r="M26" s="30"/>
      <c r="N26" s="30"/>
      <c r="O26" s="30"/>
      <c r="P26" s="30"/>
      <c r="Q26" s="30"/>
      <c r="R26" s="8"/>
      <c r="S26" s="8"/>
      <c r="T26" s="79"/>
      <c r="U26" s="79"/>
      <c r="X26" s="8"/>
      <c r="Y26" s="30"/>
      <c r="Z26" s="30"/>
      <c r="AA26" s="8"/>
      <c r="AB26" s="7"/>
      <c r="AG26" t="str">
        <f t="shared" ref="AG26:AG33" si="0">VLOOKUP(AH26,AH26:AR118,$AE$1,FALSE)</f>
        <v>PRÁCE, KTERÉ MUSÍ BÝT PROVEDENY ZÁKAZNÍKEM PŘED MONTÁŽÍ, POKUD NEBYLO DOHODNUTO JINAK</v>
      </c>
      <c r="AH26" t="s">
        <v>150</v>
      </c>
      <c r="AI26" t="s">
        <v>151</v>
      </c>
      <c r="AJ26" t="s">
        <v>152</v>
      </c>
      <c r="AK26" t="s">
        <v>153</v>
      </c>
      <c r="AL26" t="s">
        <v>154</v>
      </c>
      <c r="AM26" t="s">
        <v>155</v>
      </c>
      <c r="AN26" t="s">
        <v>156</v>
      </c>
      <c r="AO26" t="s">
        <v>157</v>
      </c>
      <c r="AP26" t="s">
        <v>158</v>
      </c>
    </row>
    <row r="27" spans="1:56" ht="15.75" customHeight="1" x14ac:dyDescent="0.3">
      <c r="A27" s="7"/>
      <c r="C27" s="77"/>
      <c r="D27" s="8"/>
      <c r="E27" s="8"/>
      <c r="F27" s="8"/>
      <c r="G27" s="8"/>
      <c r="H27" s="68"/>
      <c r="J27" s="84"/>
      <c r="K27" s="30"/>
      <c r="L27" s="30"/>
      <c r="M27" s="30"/>
      <c r="N27" s="30"/>
      <c r="O27" s="30"/>
      <c r="P27" s="30"/>
      <c r="Q27" s="30"/>
      <c r="R27" s="8"/>
      <c r="S27" s="8"/>
      <c r="T27" s="79"/>
      <c r="U27" s="79"/>
      <c r="Y27" s="30" t="str">
        <f>VLOOKUP(AG22,AG2:AR96,$AE$1+1,FALSE)</f>
        <v>Montáž na porobeton</v>
      </c>
      <c r="Z27" s="84"/>
      <c r="AA27" s="8"/>
      <c r="AB27" s="7"/>
      <c r="AG27" t="str">
        <f t="shared" si="0"/>
        <v>Konstrukční:</v>
      </c>
      <c r="AH27" t="s">
        <v>159</v>
      </c>
      <c r="AI27" t="s">
        <v>160</v>
      </c>
      <c r="AJ27" t="s">
        <v>161</v>
      </c>
      <c r="AK27" t="s">
        <v>162</v>
      </c>
      <c r="AL27" t="s">
        <v>163</v>
      </c>
      <c r="AM27" t="s">
        <v>164</v>
      </c>
      <c r="AN27" t="s">
        <v>165</v>
      </c>
      <c r="AO27" t="s">
        <v>166</v>
      </c>
      <c r="AP27" t="s">
        <v>167</v>
      </c>
    </row>
    <row r="28" spans="1:56" ht="15.75" customHeight="1" x14ac:dyDescent="0.3">
      <c r="A28" s="7"/>
      <c r="C28" s="8"/>
      <c r="D28" s="8"/>
      <c r="E28" s="8"/>
      <c r="F28" s="8"/>
      <c r="G28" s="8"/>
      <c r="H28" s="68"/>
      <c r="I28" s="80" t="str">
        <f>VLOOKUP(AG52,AG3:AR97,$AE$1+1,FALSE)</f>
        <v>zásuvka CEE 16 A, 5P, 400 V, jištěno 6 A (10 A) jističem, proudový chránič I=30 mA</v>
      </c>
      <c r="J28" s="84"/>
      <c r="K28" s="30"/>
      <c r="L28" s="30"/>
      <c r="M28" s="30"/>
      <c r="N28" s="30"/>
      <c r="O28" s="30"/>
      <c r="P28" s="30"/>
      <c r="Q28" s="30"/>
      <c r="R28" s="8"/>
      <c r="S28" s="8"/>
      <c r="T28" s="79"/>
      <c r="U28" s="79"/>
      <c r="Y28" s="30"/>
      <c r="Z28" s="84"/>
      <c r="AA28" s="8"/>
      <c r="AB28" s="7"/>
      <c r="AG28" t="str">
        <f t="shared" si="0"/>
        <v>Příprava montážních ploch pro vedení vrat a pro pružiny.</v>
      </c>
      <c r="AH28" t="s">
        <v>168</v>
      </c>
      <c r="AI28" t="s">
        <v>169</v>
      </c>
      <c r="AJ28" t="s">
        <v>170</v>
      </c>
      <c r="AK28" t="s">
        <v>171</v>
      </c>
      <c r="AL28" t="s">
        <v>172</v>
      </c>
      <c r="AM28" t="s">
        <v>173</v>
      </c>
      <c r="AN28" t="s">
        <v>174</v>
      </c>
      <c r="AO28" t="s">
        <v>175</v>
      </c>
      <c r="AP28" t="s">
        <v>176</v>
      </c>
    </row>
    <row r="29" spans="1:56" ht="29.25" customHeight="1" x14ac:dyDescent="0.3">
      <c r="A29" s="7"/>
      <c r="C29" s="85"/>
      <c r="D29" s="8"/>
      <c r="E29" s="8"/>
      <c r="F29" s="8"/>
      <c r="G29" s="8"/>
      <c r="H29" s="68"/>
      <c r="J29" s="84"/>
      <c r="K29" s="30"/>
      <c r="L29" s="30"/>
      <c r="M29" s="30"/>
      <c r="N29" s="30"/>
      <c r="O29" s="30"/>
      <c r="P29" s="30"/>
      <c r="Q29" s="30"/>
      <c r="R29" s="8"/>
      <c r="S29" s="8"/>
      <c r="T29" s="8"/>
      <c r="U29" s="8"/>
      <c r="Y29" s="30"/>
      <c r="Z29" s="84"/>
      <c r="AA29" s="8"/>
      <c r="AB29" s="7"/>
      <c r="AG29" t="str">
        <f t="shared" si="0"/>
        <v>Montáž vodorovného vedení může být max. 1 metr od pevné konstrukce.</v>
      </c>
      <c r="AH29" t="s">
        <v>177</v>
      </c>
      <c r="AI29" t="s">
        <v>178</v>
      </c>
      <c r="AJ29" t="s">
        <v>179</v>
      </c>
      <c r="AK29" t="s">
        <v>180</v>
      </c>
      <c r="AL29" t="s">
        <v>181</v>
      </c>
      <c r="AM29" t="s">
        <v>182</v>
      </c>
      <c r="AN29" t="s">
        <v>183</v>
      </c>
      <c r="AO29" t="s">
        <v>184</v>
      </c>
      <c r="AP29" t="s">
        <v>185</v>
      </c>
    </row>
    <row r="30" spans="1:56" ht="15.6" x14ac:dyDescent="0.3">
      <c r="B30" s="50"/>
      <c r="C30" s="52"/>
      <c r="D30" s="8"/>
      <c r="E30" s="8"/>
      <c r="F30" s="8"/>
      <c r="G30" s="8"/>
      <c r="H30" s="69"/>
      <c r="I30" s="30"/>
      <c r="J30" s="84"/>
      <c r="K30" s="30"/>
      <c r="L30" s="30"/>
      <c r="M30" s="30"/>
      <c r="N30" s="30"/>
      <c r="O30" s="30"/>
      <c r="P30" s="30"/>
      <c r="Q30" s="30"/>
      <c r="R30" s="8"/>
      <c r="S30" s="8"/>
      <c r="T30" s="8"/>
      <c r="U30" s="8"/>
      <c r="Y30" s="30"/>
      <c r="Z30" s="84"/>
      <c r="AA30" s="8"/>
      <c r="AB30" s="7"/>
      <c r="AG30" t="str">
        <f t="shared" si="0"/>
        <v>Nezbytné montážní plochy a volný prostor dle nákresu.</v>
      </c>
      <c r="AH30" t="s">
        <v>186</v>
      </c>
      <c r="AI30" t="s">
        <v>187</v>
      </c>
      <c r="AJ30" t="s">
        <v>188</v>
      </c>
      <c r="AK30" t="s">
        <v>189</v>
      </c>
      <c r="AL30" t="s">
        <v>190</v>
      </c>
      <c r="AM30" t="s">
        <v>191</v>
      </c>
      <c r="AN30" t="s">
        <v>192</v>
      </c>
      <c r="AO30" t="s">
        <v>193</v>
      </c>
      <c r="AP30" t="s">
        <v>194</v>
      </c>
    </row>
    <row r="31" spans="1:56" ht="17.25" customHeight="1" x14ac:dyDescent="0.3">
      <c r="A31" s="7"/>
      <c r="B31" s="86">
        <f>IF($K$7=$AG$102,150,IF(AND($K$7=$AG$103,$R$7=$AG$107),400,IF(AND($K$7=$AG$104,R7=$AG$107),400,IF(AND($K$7=$AG$103,$R$7=$AG$108),150,IF(AND($K$7=$AG$104,R7=$AG$108),150,180)))))</f>
        <v>180</v>
      </c>
      <c r="C31" s="8"/>
      <c r="D31" s="8"/>
      <c r="E31" s="43" t="s">
        <v>195</v>
      </c>
      <c r="F31" s="87">
        <f>K3</f>
        <v>0</v>
      </c>
      <c r="G31" s="87"/>
      <c r="H31" s="8"/>
      <c r="I31" s="88">
        <f>IF(K7=AG102,150,IF(AND(K7=AG103,R7=AG108),400,IF(AND(K7=AG104,R7=AG108),400,IF(AND(K7=AG103,R7=AG107),180,IF(AND(K7=AG104,R7=AG107),180,150)))))</f>
        <v>150</v>
      </c>
      <c r="J31" s="89"/>
      <c r="K31" s="89"/>
      <c r="L31" s="89"/>
      <c r="M31" s="89"/>
      <c r="N31" s="89"/>
      <c r="O31" s="89"/>
      <c r="P31" s="89"/>
      <c r="Q31" s="90">
        <f>IF($K$9=$AG$122,290,250)</f>
        <v>250</v>
      </c>
      <c r="R31" s="8"/>
      <c r="S31" s="8"/>
      <c r="T31" s="8"/>
      <c r="U31" s="8"/>
      <c r="Y31" s="30"/>
      <c r="Z31" s="84"/>
      <c r="AA31" s="8"/>
      <c r="AB31" s="7"/>
      <c r="AG31" t="str">
        <f t="shared" si="0"/>
        <v xml:space="preserve">Elekrická příprava (pro elektricky ovládaná sekční vrata): </v>
      </c>
      <c r="AH31" t="s">
        <v>196</v>
      </c>
      <c r="AI31" t="s">
        <v>197</v>
      </c>
      <c r="AJ31" t="s">
        <v>198</v>
      </c>
      <c r="AK31" t="s">
        <v>199</v>
      </c>
      <c r="AL31" t="s">
        <v>200</v>
      </c>
      <c r="AM31" t="s">
        <v>201</v>
      </c>
      <c r="AN31" t="s">
        <v>202</v>
      </c>
      <c r="AO31" t="s">
        <v>203</v>
      </c>
      <c r="AP31" t="s">
        <v>204</v>
      </c>
    </row>
    <row r="32" spans="1:56" ht="15.75" customHeight="1" x14ac:dyDescent="0.3">
      <c r="B32" s="50"/>
      <c r="C32" s="8"/>
      <c r="D32" s="8"/>
      <c r="E32" s="8"/>
      <c r="F32" s="8"/>
      <c r="G32" s="8"/>
      <c r="H32" s="8"/>
      <c r="I32" s="89"/>
      <c r="J32" s="89"/>
      <c r="K32" s="89"/>
      <c r="L32" s="89"/>
      <c r="M32" s="89"/>
      <c r="N32" s="89"/>
      <c r="O32" s="89"/>
      <c r="P32" s="89"/>
      <c r="Q32" s="90"/>
      <c r="R32" s="85"/>
      <c r="S32" s="8"/>
      <c r="T32" s="8"/>
      <c r="U32" s="8"/>
      <c r="Y32" s="91" t="str">
        <f>VLOOKUP(AG23,AG2:AR96,$AE$1+1,FALSE)</f>
        <v>Montáž na opláštění</v>
      </c>
      <c r="Z32" s="91"/>
      <c r="AA32" s="91"/>
      <c r="AB32" s="7"/>
      <c r="AG32" t="str">
        <f t="shared" si="0"/>
        <v>Zásuvka CEE 16 A, 5P, 400 V = zásuvka s nulovým a zemnícím vodičem</v>
      </c>
      <c r="AH32" t="s">
        <v>205</v>
      </c>
      <c r="AI32" t="s">
        <v>206</v>
      </c>
      <c r="AJ32" t="s">
        <v>207</v>
      </c>
      <c r="AK32" t="s">
        <v>208</v>
      </c>
      <c r="AL32" t="s">
        <v>209</v>
      </c>
      <c r="AM32" t="s">
        <v>210</v>
      </c>
      <c r="AN32" t="s">
        <v>211</v>
      </c>
      <c r="AO32" t="s">
        <v>212</v>
      </c>
      <c r="AP32" t="s">
        <v>213</v>
      </c>
    </row>
    <row r="33" spans="1:42" ht="15.75" customHeight="1" x14ac:dyDescent="0.3">
      <c r="A33" s="7"/>
      <c r="D33" s="48"/>
      <c r="H33" s="43"/>
      <c r="S33" s="8"/>
      <c r="T33" s="8"/>
      <c r="U33" s="8"/>
      <c r="Y33" s="91"/>
      <c r="Z33" s="91"/>
      <c r="AA33" s="91"/>
      <c r="AB33" s="7"/>
      <c r="AG33" t="str">
        <f t="shared" si="0"/>
        <v>Zajistit vhodnou montážní plochu pro řídící jednotku motoru 250 x 400 mm</v>
      </c>
      <c r="AH33" t="s">
        <v>214</v>
      </c>
      <c r="AI33" t="s">
        <v>215</v>
      </c>
      <c r="AJ33" t="s">
        <v>216</v>
      </c>
      <c r="AK33" t="s">
        <v>217</v>
      </c>
      <c r="AL33" t="s">
        <v>218</v>
      </c>
      <c r="AM33" t="s">
        <v>219</v>
      </c>
      <c r="AN33" t="s">
        <v>220</v>
      </c>
      <c r="AO33" t="s">
        <v>221</v>
      </c>
      <c r="AP33" t="s">
        <v>222</v>
      </c>
    </row>
    <row r="34" spans="1:42" x14ac:dyDescent="0.3">
      <c r="B34" s="50"/>
      <c r="C34" s="8"/>
      <c r="D34" s="8"/>
      <c r="E34" s="8"/>
      <c r="F34" s="8"/>
      <c r="G34" s="8"/>
      <c r="H34" s="5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AA34" s="8"/>
      <c r="AB34" s="7"/>
    </row>
    <row r="35" spans="1:42" x14ac:dyDescent="0.3">
      <c r="B35" s="5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AA35" s="8"/>
      <c r="AB35" s="7"/>
    </row>
    <row r="36" spans="1:42" x14ac:dyDescent="0.3">
      <c r="B36" s="5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AA36" s="8"/>
      <c r="AB36" s="7"/>
      <c r="AG36" t="str">
        <f>VLOOKUP(AH36,AH36:AR128,$AE$1,FALSE)</f>
        <v>NEZBYTNÁ MONTÁŽNÍ PLOCHA</v>
      </c>
      <c r="AH36" t="s">
        <v>223</v>
      </c>
      <c r="AI36" t="s">
        <v>224</v>
      </c>
      <c r="AJ36" t="s">
        <v>225</v>
      </c>
      <c r="AK36" t="s">
        <v>226</v>
      </c>
      <c r="AL36" t="s">
        <v>227</v>
      </c>
      <c r="AM36" t="s">
        <v>228</v>
      </c>
      <c r="AN36" t="s">
        <v>229</v>
      </c>
      <c r="AO36" t="s">
        <v>230</v>
      </c>
      <c r="AP36" t="s">
        <v>231</v>
      </c>
    </row>
    <row r="37" spans="1:42" ht="18" x14ac:dyDescent="0.35">
      <c r="B37" s="50"/>
      <c r="C37" s="8"/>
      <c r="D37" s="8"/>
      <c r="E37" s="18" t="str">
        <f>VLOOKUP(AG7,AG2:AR96,$AE$1+1,FALSE)</f>
        <v>ŘEZ B-B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AA37" s="8"/>
      <c r="AB37" s="7"/>
      <c r="AG37" t="str">
        <f>VLOOKUP(AH37,AH37:AR129,$AE$1,FALSE)</f>
        <v>DODATEČNÉ MONTÁŽNÍ PLOCHY PRO KONZOLY</v>
      </c>
      <c r="AH37" t="s">
        <v>232</v>
      </c>
      <c r="AI37" t="s">
        <v>233</v>
      </c>
      <c r="AJ37" t="s">
        <v>234</v>
      </c>
      <c r="AK37" t="s">
        <v>235</v>
      </c>
      <c r="AL37" t="s">
        <v>236</v>
      </c>
      <c r="AM37" t="s">
        <v>237</v>
      </c>
      <c r="AN37" t="s">
        <v>238</v>
      </c>
      <c r="AO37" t="s">
        <v>239</v>
      </c>
      <c r="AP37" t="s">
        <v>240</v>
      </c>
    </row>
    <row r="38" spans="1:42" ht="15.6" x14ac:dyDescent="0.3">
      <c r="B38" s="50"/>
      <c r="C38" s="8"/>
      <c r="D38" s="8"/>
      <c r="E38" s="8"/>
      <c r="F38" s="8"/>
      <c r="G38" s="8"/>
      <c r="H38" s="8"/>
      <c r="I38" s="8"/>
      <c r="J38" s="8"/>
      <c r="K38" s="8"/>
      <c r="L38" s="30" t="str">
        <f>VLOOKUP(AG42,AG2:AR96,$AE$1+1,FALSE)</f>
        <v>sklon podlahy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AA38" s="8"/>
      <c r="AB38" s="7"/>
      <c r="AG38" t="str">
        <f>VLOOKUP(AH38,AH38:AR130,$AE$1,FALSE)</f>
        <v>NEZBYTNÝ VOLNÝ PROSTOR</v>
      </c>
      <c r="AH38" t="s">
        <v>241</v>
      </c>
      <c r="AI38" t="s">
        <v>242</v>
      </c>
      <c r="AJ38" t="s">
        <v>243</v>
      </c>
      <c r="AK38" t="s">
        <v>244</v>
      </c>
      <c r="AL38" t="s">
        <v>245</v>
      </c>
      <c r="AM38" t="s">
        <v>246</v>
      </c>
      <c r="AN38" t="s">
        <v>247</v>
      </c>
      <c r="AO38" t="s">
        <v>248</v>
      </c>
      <c r="AP38" t="s">
        <v>249</v>
      </c>
    </row>
    <row r="39" spans="1:42" ht="15.75" customHeight="1" x14ac:dyDescent="0.3">
      <c r="B39" s="92">
        <f>IF($K$9=$AG$122,290,250)</f>
        <v>250</v>
      </c>
      <c r="C39" s="79"/>
      <c r="D39" s="8"/>
      <c r="E39" s="8"/>
      <c r="F39" s="8"/>
      <c r="G39" s="8"/>
      <c r="H39" s="8"/>
      <c r="I39" s="8"/>
      <c r="J39" s="8"/>
      <c r="K39" s="8"/>
      <c r="L39" s="8"/>
      <c r="M39" s="8"/>
      <c r="N39" s="30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7"/>
      <c r="AG39" t="str">
        <f>VLOOKUP(AH39,AH39:AR131,$AE$1,FALSE)</f>
        <v>VOLNÝ PROSTOR PRO MOTOR/ŘETĚZ.PŘEVOD</v>
      </c>
      <c r="AH39" t="s">
        <v>250</v>
      </c>
      <c r="AI39" t="s">
        <v>251</v>
      </c>
      <c r="AJ39" t="s">
        <v>252</v>
      </c>
      <c r="AK39" t="s">
        <v>253</v>
      </c>
      <c r="AL39" t="s">
        <v>254</v>
      </c>
      <c r="AM39" t="s">
        <v>255</v>
      </c>
      <c r="AN39" t="s">
        <v>256</v>
      </c>
      <c r="AO39" t="s">
        <v>257</v>
      </c>
      <c r="AP39" t="s">
        <v>258</v>
      </c>
    </row>
    <row r="40" spans="1:42" ht="15.6" x14ac:dyDescent="0.3">
      <c r="B40" s="92"/>
      <c r="C40" s="79"/>
      <c r="D40" s="8"/>
      <c r="F40" s="8"/>
      <c r="H40" s="8"/>
      <c r="I40" s="8"/>
      <c r="J40" s="8"/>
      <c r="K40" s="8"/>
      <c r="L40" s="8"/>
      <c r="N40" s="84"/>
      <c r="O40" s="30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7"/>
    </row>
    <row r="41" spans="1:42" ht="15.6" x14ac:dyDescent="0.3">
      <c r="B41" s="5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30"/>
      <c r="O41" s="84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7"/>
    </row>
    <row r="42" spans="1:42" ht="15.6" x14ac:dyDescent="0.3">
      <c r="B42" s="50"/>
      <c r="C42" s="8"/>
      <c r="D42" s="8"/>
      <c r="E42" s="93">
        <f>B31+I31+F31</f>
        <v>330</v>
      </c>
      <c r="F42" s="93"/>
      <c r="G42" s="8"/>
      <c r="H42" s="8"/>
      <c r="I42" s="8"/>
      <c r="J42" s="8"/>
      <c r="K42" s="8"/>
      <c r="L42" s="8"/>
      <c r="M42" s="8"/>
      <c r="N42" s="30"/>
      <c r="O42" s="84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7"/>
      <c r="AG42" t="str">
        <f>VLOOKUP(AH42,AH42:AR134,$AE$1,FALSE)</f>
        <v>sklon podlahy</v>
      </c>
      <c r="AH42" t="s">
        <v>259</v>
      </c>
      <c r="AI42" t="s">
        <v>260</v>
      </c>
      <c r="AJ42" t="s">
        <v>261</v>
      </c>
      <c r="AK42" t="s">
        <v>262</v>
      </c>
      <c r="AL42" t="s">
        <v>263</v>
      </c>
      <c r="AM42" t="s">
        <v>264</v>
      </c>
      <c r="AN42" t="s">
        <v>265</v>
      </c>
      <c r="AO42" t="s">
        <v>266</v>
      </c>
      <c r="AP42" t="s">
        <v>267</v>
      </c>
    </row>
    <row r="43" spans="1:42" ht="15.6" x14ac:dyDescent="0.3">
      <c r="B43" s="5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O43" s="84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7"/>
      <c r="AG43" t="str">
        <f>VLOOKUP(AH43,AH43:AR135,$AE$1,FALSE)</f>
        <v>směrem ven</v>
      </c>
      <c r="AH43" t="s">
        <v>268</v>
      </c>
      <c r="AI43" t="s">
        <v>269</v>
      </c>
      <c r="AJ43" t="s">
        <v>270</v>
      </c>
      <c r="AK43" t="s">
        <v>271</v>
      </c>
      <c r="AL43" t="str">
        <f>""</f>
        <v/>
      </c>
      <c r="AM43" t="s">
        <v>272</v>
      </c>
      <c r="AN43" t="s">
        <v>273</v>
      </c>
      <c r="AO43" t="s">
        <v>274</v>
      </c>
    </row>
    <row r="44" spans="1:42" ht="15.75" customHeight="1" x14ac:dyDescent="0.3">
      <c r="B44" s="50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30"/>
      <c r="O44" s="84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7"/>
      <c r="AG44" t="str">
        <f>VLOOKUP(AH44,AH44:AR136,$AE$1,FALSE)</f>
        <v>sklon 3%</v>
      </c>
      <c r="AH44" t="s">
        <v>275</v>
      </c>
      <c r="AI44" t="s">
        <v>276</v>
      </c>
      <c r="AJ44" t="s">
        <v>277</v>
      </c>
      <c r="AK44" t="s">
        <v>278</v>
      </c>
      <c r="AL44" t="s">
        <v>279</v>
      </c>
      <c r="AM44" t="s">
        <v>280</v>
      </c>
      <c r="AN44" t="s">
        <v>281</v>
      </c>
      <c r="AO44" t="s">
        <v>282</v>
      </c>
      <c r="AP44" t="s">
        <v>283</v>
      </c>
    </row>
    <row r="45" spans="1:42" ht="15.6" x14ac:dyDescent="0.3">
      <c r="B45" s="50"/>
      <c r="C45" s="8"/>
      <c r="D45" s="8"/>
      <c r="E45" s="8"/>
      <c r="F45" s="8"/>
      <c r="G45" s="8"/>
      <c r="H45" s="8"/>
      <c r="I45" s="8"/>
      <c r="J45" s="8"/>
      <c r="K45" s="8"/>
      <c r="L45" s="30"/>
      <c r="M45" s="8"/>
      <c r="N45" s="30"/>
      <c r="O45" s="84"/>
      <c r="P45" s="8"/>
      <c r="Q45" s="8"/>
      <c r="R45" s="8"/>
      <c r="U45" s="8"/>
      <c r="V45" s="8"/>
      <c r="W45" s="8"/>
      <c r="X45" s="8"/>
      <c r="Y45" s="8"/>
      <c r="Z45" s="8"/>
      <c r="AA45" s="8"/>
      <c r="AB45" s="7"/>
      <c r="AG45" t="str">
        <f>VLOOKUP(AH45,AH45:AR137,$AE$1,FALSE)</f>
        <v>směrem ven</v>
      </c>
      <c r="AH45" t="s">
        <v>268</v>
      </c>
      <c r="AI45" t="s">
        <v>284</v>
      </c>
      <c r="AJ45" t="s">
        <v>285</v>
      </c>
      <c r="AK45" t="s">
        <v>271</v>
      </c>
      <c r="AL45" t="s">
        <v>263</v>
      </c>
      <c r="AM45" t="s">
        <v>286</v>
      </c>
      <c r="AN45" t="s">
        <v>287</v>
      </c>
      <c r="AO45" t="s">
        <v>288</v>
      </c>
    </row>
    <row r="46" spans="1:42" ht="15.6" x14ac:dyDescent="0.3">
      <c r="B46" s="50"/>
      <c r="C46" s="8"/>
      <c r="D46" s="8"/>
      <c r="G46" s="8"/>
      <c r="H46" s="8"/>
      <c r="I46" s="8"/>
      <c r="J46" s="8"/>
      <c r="K46" s="8"/>
      <c r="L46" s="8"/>
      <c r="M46" s="8"/>
      <c r="N46" s="30"/>
      <c r="O46" s="84"/>
      <c r="P46" s="8"/>
      <c r="R46" s="94" t="str">
        <f>VLOOKUP(AG36,AG2:AR96,$AE$1+1,FALSE)</f>
        <v>NEZBYTNÁ MONTÁŽNÍ PLOCHA</v>
      </c>
      <c r="S46" s="95"/>
      <c r="T46" s="94"/>
      <c r="U46" s="94"/>
      <c r="V46" s="94"/>
      <c r="W46" s="95"/>
      <c r="X46" s="94" t="str">
        <f>VLOOKUP(AG38,AG4:AR97,$AE$1+1,FALSE)</f>
        <v>NEZBYTNÝ VOLNÝ PROSTOR</v>
      </c>
      <c r="Y46" s="94"/>
      <c r="Z46" s="94"/>
      <c r="AA46" s="94"/>
      <c r="AB46" s="7"/>
      <c r="AG46" t="str">
        <f>VLOOKUP(AH46,AH46:AR138,$AE$1,FALSE)</f>
        <v>sklon podlahy</v>
      </c>
      <c r="AH46" t="s">
        <v>259</v>
      </c>
      <c r="AI46" t="s">
        <v>289</v>
      </c>
      <c r="AJ46" t="s">
        <v>290</v>
      </c>
      <c r="AK46" t="s">
        <v>262</v>
      </c>
      <c r="AL46" t="str">
        <f>""</f>
        <v/>
      </c>
      <c r="AM46" t="s">
        <v>291</v>
      </c>
      <c r="AN46" t="s">
        <v>292</v>
      </c>
      <c r="AO46" t="s">
        <v>293</v>
      </c>
      <c r="AP46" t="s">
        <v>294</v>
      </c>
    </row>
    <row r="47" spans="1:42" ht="15.6" x14ac:dyDescent="0.3">
      <c r="B47" s="5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4"/>
      <c r="P47" s="8"/>
      <c r="R47" s="94"/>
      <c r="S47" s="95"/>
      <c r="T47" s="94"/>
      <c r="U47" s="94"/>
      <c r="V47" s="94"/>
      <c r="W47" s="95"/>
      <c r="X47" s="94"/>
      <c r="Y47" s="94"/>
      <c r="Z47" s="94"/>
      <c r="AA47" s="94"/>
      <c r="AB47" s="7"/>
    </row>
    <row r="48" spans="1:42" x14ac:dyDescent="0.3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P48" s="8"/>
      <c r="R48" s="94" t="str">
        <f>VLOOKUP(AG37,AG4:AR97,$AE$1+1,FALSE)</f>
        <v>DODATEČNÉ MONTÁŽNÍ PLOCHY PRO KONZOLY</v>
      </c>
      <c r="S48" s="94"/>
      <c r="T48" s="94"/>
      <c r="U48" s="94"/>
      <c r="V48" s="94"/>
      <c r="W48" s="95"/>
      <c r="X48" s="96"/>
      <c r="Y48" s="96"/>
      <c r="Z48" s="96"/>
      <c r="AA48" s="96"/>
      <c r="AB48" s="97"/>
    </row>
    <row r="49" spans="1:42" x14ac:dyDescent="0.3">
      <c r="A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P49" s="8"/>
      <c r="Q49" s="8"/>
      <c r="R49" s="8"/>
      <c r="S49" s="8"/>
      <c r="T49" s="8"/>
      <c r="U49" s="8"/>
      <c r="V49" s="8"/>
      <c r="W49" s="8"/>
      <c r="X49" s="96"/>
      <c r="Y49" s="96"/>
      <c r="Z49" s="96"/>
      <c r="AA49" s="96"/>
      <c r="AB49" s="97"/>
      <c r="AG49" t="str">
        <f>VLOOKUP(AH49,AH49:AR141,$AE$1,FALSE)</f>
        <v>nezbytný boční prostor pro motor nebo řetězový pohon ( L nebo R )</v>
      </c>
      <c r="AH49" t="s">
        <v>295</v>
      </c>
      <c r="AI49" t="s">
        <v>296</v>
      </c>
      <c r="AJ49" t="s">
        <v>297</v>
      </c>
      <c r="AK49" t="s">
        <v>298</v>
      </c>
      <c r="AL49" t="s">
        <v>299</v>
      </c>
      <c r="AM49" t="s">
        <v>300</v>
      </c>
      <c r="AN49" t="s">
        <v>301</v>
      </c>
      <c r="AO49" t="s">
        <v>302</v>
      </c>
      <c r="AP49" t="s">
        <v>303</v>
      </c>
    </row>
    <row r="50" spans="1:42" ht="15.6" x14ac:dyDescent="0.3">
      <c r="A50" s="7"/>
      <c r="B50" s="30" t="str">
        <f>VLOOKUP(AG8,AG2:AR96,$AE$1+1,FALSE)</f>
        <v>POZNÁMKA:</v>
      </c>
      <c r="C50" s="30"/>
      <c r="D50" s="30"/>
      <c r="E50" s="30"/>
      <c r="F50" s="30"/>
      <c r="G50" s="30"/>
      <c r="H50" s="30"/>
      <c r="I50" s="30"/>
      <c r="J50" s="30"/>
      <c r="K50" s="30"/>
      <c r="L50" s="8"/>
      <c r="M50" s="8"/>
      <c r="N50" s="8"/>
      <c r="O50" s="8"/>
      <c r="P50" s="8"/>
      <c r="Q50" s="8"/>
      <c r="R50" s="98" t="str">
        <f>VLOOKUP(AG26,AG2:AR96,$AE$1+1,FALSE)</f>
        <v>PRÁCE, KTERÉ MUSÍ BÝT PROVEDENY ZÁKAZNÍKEM PŘED MONTÁŽÍ, POKUD NEBYLO DOHODNUTO JINAK</v>
      </c>
      <c r="S50" s="98"/>
      <c r="T50" s="98"/>
      <c r="U50" s="98"/>
      <c r="V50" s="98"/>
      <c r="W50" s="98"/>
      <c r="X50" s="98"/>
      <c r="Y50" s="98"/>
      <c r="Z50" s="98"/>
      <c r="AA50" s="98"/>
      <c r="AB50" s="99"/>
      <c r="AG50" t="str">
        <f>VLOOKUP(AH50,AH50:AR142,$AE$1,FALSE)</f>
        <v>montážní plocha pro řídící jednotku motoru, rozměr 250 x 400 mm</v>
      </c>
      <c r="AH50" t="s">
        <v>304</v>
      </c>
      <c r="AI50" t="s">
        <v>305</v>
      </c>
      <c r="AJ50" t="s">
        <v>306</v>
      </c>
      <c r="AK50" t="s">
        <v>307</v>
      </c>
      <c r="AL50" t="s">
        <v>308</v>
      </c>
      <c r="AM50" t="s">
        <v>309</v>
      </c>
      <c r="AN50" t="s">
        <v>310</v>
      </c>
      <c r="AO50" t="s">
        <v>311</v>
      </c>
      <c r="AP50" t="s">
        <v>312</v>
      </c>
    </row>
    <row r="51" spans="1:42" ht="15.6" x14ac:dyDescent="0.3">
      <c r="A51" s="7"/>
      <c r="B51" s="84"/>
      <c r="C51" s="30"/>
      <c r="D51" s="30"/>
      <c r="E51" s="30"/>
      <c r="F51" s="30"/>
      <c r="G51" s="30"/>
      <c r="H51" s="30"/>
      <c r="I51" s="30"/>
      <c r="J51" s="30"/>
      <c r="K51" s="30"/>
      <c r="L51" s="8"/>
      <c r="M51" s="8"/>
      <c r="N51" s="8"/>
      <c r="O51" s="8"/>
      <c r="P51" s="8"/>
      <c r="Q51" s="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9"/>
      <c r="AG51" t="str">
        <f>VLOOKUP(AH51,AH51:AR143,$AE$1,FALSE)</f>
        <v>osa cca 1.400 až 1.500 mm od podlahy</v>
      </c>
      <c r="AH51" t="s">
        <v>313</v>
      </c>
      <c r="AI51" t="s">
        <v>314</v>
      </c>
      <c r="AJ51" t="s">
        <v>315</v>
      </c>
      <c r="AK51" t="s">
        <v>316</v>
      </c>
      <c r="AL51" t="s">
        <v>317</v>
      </c>
      <c r="AM51" t="s">
        <v>318</v>
      </c>
      <c r="AN51" t="s">
        <v>319</v>
      </c>
      <c r="AO51" t="s">
        <v>320</v>
      </c>
      <c r="AP51" t="s">
        <v>321</v>
      </c>
    </row>
    <row r="52" spans="1:42" ht="15.6" x14ac:dyDescent="0.3">
      <c r="B52" s="100" t="str">
        <f>VLOOKUP(AG55,AG2:AR96,$AE$1+1,FALSE)</f>
        <v>Stěna nad překladem, stěny vedle otvoru a plochy pro montáž konzol musí být rovné a v jedné rovině.</v>
      </c>
      <c r="C52" s="30"/>
      <c r="D52" s="30"/>
      <c r="E52" s="30"/>
      <c r="F52" s="30"/>
      <c r="G52" s="30"/>
      <c r="H52" s="30"/>
      <c r="I52" s="30"/>
      <c r="J52" s="30"/>
      <c r="K52" s="30"/>
      <c r="L52" s="8"/>
      <c r="M52" s="8"/>
      <c r="N52" s="8"/>
      <c r="O52" s="8"/>
      <c r="R52" s="8" t="str">
        <f>VLOOKUP(AG27,AG2:AR96,$AE$1+1,FALSE)</f>
        <v>Konstrukční:</v>
      </c>
      <c r="S52" s="8"/>
      <c r="T52" s="8"/>
      <c r="U52" s="8"/>
      <c r="V52" s="8"/>
      <c r="W52" s="8"/>
      <c r="X52" s="8"/>
      <c r="Y52" s="8"/>
      <c r="Z52" s="8"/>
      <c r="AA52" s="8"/>
      <c r="AB52" s="7"/>
      <c r="AG52" t="str">
        <f>VLOOKUP(AH52,AH52:AR144,$AE$1,FALSE)</f>
        <v>zásuvka CEE 16 A, 5P, 400 V, jištěno 6 A (10 A) jističem, proudový chránič I=30 mA</v>
      </c>
      <c r="AH52" t="s">
        <v>322</v>
      </c>
      <c r="AI52" t="s">
        <v>323</v>
      </c>
      <c r="AJ52" t="s">
        <v>324</v>
      </c>
      <c r="AK52" t="s">
        <v>325</v>
      </c>
      <c r="AL52" t="s">
        <v>326</v>
      </c>
      <c r="AM52" t="s">
        <v>327</v>
      </c>
      <c r="AN52" t="s">
        <v>328</v>
      </c>
      <c r="AO52" t="s">
        <v>329</v>
      </c>
      <c r="AP52" t="s">
        <v>330</v>
      </c>
    </row>
    <row r="53" spans="1:42" ht="15.6" x14ac:dyDescent="0.3">
      <c r="B53" s="100" t="str">
        <f>VLOOKUP(AG56,AG2:AR96,$AE$1+1,FALSE)</f>
        <v>Otvor musí být svislý a obdélníkový.</v>
      </c>
      <c r="C53" s="30"/>
      <c r="D53" s="30"/>
      <c r="E53" s="30"/>
      <c r="F53" s="30"/>
      <c r="G53" s="30"/>
      <c r="H53" s="30"/>
      <c r="I53" s="30"/>
      <c r="J53" s="30"/>
      <c r="K53" s="30"/>
      <c r="L53" s="8"/>
      <c r="M53" s="8"/>
      <c r="N53" s="8"/>
      <c r="O53" s="8"/>
      <c r="Q53" s="8"/>
      <c r="R53" s="101" t="str">
        <f>VLOOKUP(AG28,AG2:AR96,$AE$1+1,FALSE)</f>
        <v>Příprava montážních ploch pro vedení vrat a pro pružiny.</v>
      </c>
      <c r="S53" s="101"/>
      <c r="T53" s="101"/>
      <c r="U53" s="101"/>
      <c r="V53" s="101"/>
      <c r="W53" s="101"/>
      <c r="X53" s="101"/>
      <c r="Y53" s="101"/>
      <c r="Z53" s="101"/>
      <c r="AA53" s="101"/>
      <c r="AB53" s="102"/>
      <c r="AC53" s="8"/>
    </row>
    <row r="54" spans="1:42" ht="15.75" customHeight="1" x14ac:dyDescent="0.3">
      <c r="B54" s="100" t="str">
        <f>VLOOKUP(AG57,AG2:AR96,$AE$1+1,FALSE)</f>
        <v>Podlaha musí být rovná a vodorovná.</v>
      </c>
      <c r="C54" s="30"/>
      <c r="D54" s="30"/>
      <c r="E54" s="30"/>
      <c r="F54" s="30"/>
      <c r="G54" s="30"/>
      <c r="H54" s="30"/>
      <c r="I54" s="30"/>
      <c r="J54" s="30"/>
      <c r="K54" s="30"/>
      <c r="L54" s="8"/>
      <c r="M54" s="8"/>
      <c r="N54" s="8"/>
      <c r="O54" s="8"/>
      <c r="Q54" s="8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8"/>
    </row>
    <row r="55" spans="1:42" ht="16.2" thickBot="1" x14ac:dyDescent="0.35">
      <c r="B55" s="103" t="str">
        <f>AG113</f>
        <v>Vrata s motorem nebo řetězovým převodem musí obsahovat napínací set 688CR (pro zpětné stahování vrat), který se montuje vždy na pravo (nezáleží na umístění motoru)</v>
      </c>
      <c r="C55" s="104"/>
      <c r="D55" s="104"/>
      <c r="E55" s="104"/>
      <c r="F55" s="104"/>
      <c r="G55" s="104"/>
      <c r="H55" s="104"/>
      <c r="I55" s="104"/>
      <c r="J55" s="104"/>
      <c r="K55" s="104"/>
      <c r="L55" s="28"/>
      <c r="M55" s="28"/>
      <c r="N55" s="28"/>
      <c r="O55" s="28"/>
      <c r="P55" s="105"/>
      <c r="Q55" s="28"/>
      <c r="R55" s="101" t="str">
        <f>VLOOKUP(AG29,AG3:AR96,$AE$1+1,FALSE)</f>
        <v>Montáž vodorovného vedení může být max. 1 metr od pevné konstrukce.</v>
      </c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8"/>
      <c r="AG55" t="str">
        <f>VLOOKUP(AH55,AH55:AR147,$AE$1,FALSE)</f>
        <v>Stěna nad překladem, stěny vedle otvoru a plochy pro montáž konzol musí být rovné a v jedné rovině.</v>
      </c>
      <c r="AH55" t="s">
        <v>331</v>
      </c>
      <c r="AI55" t="s">
        <v>332</v>
      </c>
      <c r="AJ55" t="s">
        <v>333</v>
      </c>
      <c r="AK55" t="s">
        <v>334</v>
      </c>
      <c r="AL55" t="s">
        <v>335</v>
      </c>
      <c r="AM55" t="s">
        <v>336</v>
      </c>
      <c r="AN55" t="s">
        <v>337</v>
      </c>
      <c r="AO55" t="s">
        <v>338</v>
      </c>
      <c r="AP55" t="s">
        <v>339</v>
      </c>
    </row>
    <row r="56" spans="1:42" ht="15" thickBot="1" x14ac:dyDescent="0.35">
      <c r="B56" s="106" t="str">
        <f>VLOOKUP(AG60,AG2:AR96,$AE$1+1,FALSE)</f>
        <v>Rozměry jsou v mm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8"/>
      <c r="Q56" s="8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2"/>
      <c r="AC56" s="8"/>
      <c r="AG56" t="str">
        <f>VLOOKUP(AH56,AH56:AR148,$AE$1,FALSE)</f>
        <v>Otvor musí být svislý a obdélníkový.</v>
      </c>
      <c r="AH56" t="s">
        <v>340</v>
      </c>
      <c r="AI56" t="s">
        <v>341</v>
      </c>
      <c r="AJ56" t="s">
        <v>342</v>
      </c>
      <c r="AK56" t="s">
        <v>343</v>
      </c>
      <c r="AL56" t="s">
        <v>344</v>
      </c>
      <c r="AM56" t="s">
        <v>345</v>
      </c>
      <c r="AN56" t="s">
        <v>346</v>
      </c>
      <c r="AO56" t="s">
        <v>347</v>
      </c>
      <c r="AP56" t="s">
        <v>348</v>
      </c>
    </row>
    <row r="57" spans="1:42" ht="15" thickBot="1" x14ac:dyDescent="0.35">
      <c r="B57" s="109" t="s">
        <v>349</v>
      </c>
      <c r="C57" s="105" t="str">
        <f>VLOOKUP(AG61,AG2:AR96,$AE$1+1,FALSE)</f>
        <v>Šířka otvoru</v>
      </c>
      <c r="D57" s="110"/>
      <c r="E57" s="105"/>
      <c r="F57" s="111"/>
      <c r="G57" s="112" t="str">
        <f>VLOOKUP(AG74,AG6:AR99,$AE$1+1,FALSE)</f>
        <v>Ruční ovládání</v>
      </c>
      <c r="H57" s="113"/>
      <c r="I57" s="113"/>
      <c r="J57" s="113"/>
      <c r="K57" s="112"/>
      <c r="L57" s="114"/>
      <c r="M57" s="110" t="str">
        <f>VLOOKUP(AG81,AG6:AR99,$AE$1+1,FALSE)</f>
        <v>Volný prostor nad překladem</v>
      </c>
      <c r="N57" s="110"/>
      <c r="O57" s="110"/>
      <c r="P57" s="111"/>
      <c r="R57" s="8" t="str">
        <f>VLOOKUP(AG30,AG2:AR96,$AE$1+1,FALSE)</f>
        <v>Nezbytné montážní plochy a volný prostor dle nákresu.</v>
      </c>
      <c r="S57" s="8"/>
      <c r="T57" s="8"/>
      <c r="U57" s="8"/>
      <c r="V57" s="8"/>
      <c r="W57" s="8"/>
      <c r="X57" s="8"/>
      <c r="Y57" s="8"/>
      <c r="Z57" s="8"/>
      <c r="AA57" s="8"/>
      <c r="AB57" s="7"/>
      <c r="AG57" t="str">
        <f>VLOOKUP(AH57,AH57:AR149,$AE$1,FALSE)</f>
        <v>Podlaha musí být rovná a vodorovná.</v>
      </c>
      <c r="AH57" t="s">
        <v>350</v>
      </c>
      <c r="AI57" t="s">
        <v>351</v>
      </c>
      <c r="AJ57" t="s">
        <v>352</v>
      </c>
      <c r="AK57" t="s">
        <v>353</v>
      </c>
      <c r="AL57" t="s">
        <v>354</v>
      </c>
      <c r="AM57" t="s">
        <v>355</v>
      </c>
      <c r="AN57" t="s">
        <v>356</v>
      </c>
      <c r="AO57" t="s">
        <v>357</v>
      </c>
      <c r="AP57" t="s">
        <v>358</v>
      </c>
    </row>
    <row r="58" spans="1:42" ht="15" thickBot="1" x14ac:dyDescent="0.35">
      <c r="B58" s="109" t="s">
        <v>359</v>
      </c>
      <c r="C58" s="105" t="str">
        <f>VLOOKUP(AG62,AG3:AR96,$AE$1+1,FALSE)</f>
        <v>Výška otvoru</v>
      </c>
      <c r="D58" s="110"/>
      <c r="E58" s="110"/>
      <c r="F58" s="111"/>
      <c r="G58" s="109" t="s">
        <v>360</v>
      </c>
      <c r="H58" s="110" t="str">
        <f>VLOOKUP(AG75,AG6:AR99,$AE$1+1,FALSE)</f>
        <v>Obě strany</v>
      </c>
      <c r="I58" s="110"/>
      <c r="J58" s="17"/>
      <c r="K58" s="110"/>
      <c r="L58" s="110" t="s">
        <v>361</v>
      </c>
      <c r="M58" s="109" t="s">
        <v>362</v>
      </c>
      <c r="N58" s="115"/>
      <c r="O58" s="116"/>
      <c r="P58" s="117">
        <f>IF(K9=AG122,270,230)</f>
        <v>230</v>
      </c>
      <c r="R58" s="8" t="str">
        <f>VLOOKUP(AG31,AG2:AR96,$AE$1+1,FALSE)</f>
        <v xml:space="preserve">Elekrická příprava (pro elektricky ovládaná sekční vrata): </v>
      </c>
      <c r="S58" s="8"/>
      <c r="T58" s="8"/>
      <c r="U58" s="8"/>
      <c r="V58" s="8"/>
      <c r="W58" s="8"/>
      <c r="X58" s="8"/>
      <c r="Y58" s="8"/>
      <c r="Z58" s="8"/>
      <c r="AA58" s="8"/>
      <c r="AB58" s="7"/>
    </row>
    <row r="59" spans="1:42" ht="15" thickBot="1" x14ac:dyDescent="0.35">
      <c r="A59" s="7"/>
      <c r="B59" s="109" t="s">
        <v>363</v>
      </c>
      <c r="C59" s="105" t="str">
        <f>VLOOKUP(AG65,AG5:AR98,$AE$1+1,FALSE)</f>
        <v>Volný prostor nad překladem</v>
      </c>
      <c r="D59" s="110"/>
      <c r="E59" s="110"/>
      <c r="F59" s="111"/>
      <c r="G59" s="109" t="s">
        <v>364</v>
      </c>
      <c r="H59" s="110" t="str">
        <f>VLOOKUP(AG78,AG6:AR99,$AE$1+1,FALSE)</f>
        <v>Hloubka vedení</v>
      </c>
      <c r="I59" s="110"/>
      <c r="J59" s="110"/>
      <c r="K59" s="118" t="s">
        <v>365</v>
      </c>
      <c r="L59" s="111" t="str">
        <f>IF(OR(K3="",K5="",P58=""),"",K5+1250)</f>
        <v/>
      </c>
      <c r="M59" s="119"/>
      <c r="N59" s="120"/>
      <c r="O59" s="120"/>
      <c r="P59" s="121"/>
      <c r="R59" s="8" t="str">
        <f>VLOOKUP(AG32,AG2:AR96,$AE$1+1,FALSE)</f>
        <v>Zásuvka CEE 16 A, 5P, 400 V = zásuvka s nulovým a zemnícím vodičem</v>
      </c>
      <c r="S59" s="8"/>
      <c r="T59" s="8"/>
      <c r="U59" s="8"/>
      <c r="V59" s="8"/>
      <c r="W59" s="8"/>
      <c r="X59" s="8"/>
      <c r="AA59" s="8"/>
      <c r="AB59" s="7"/>
    </row>
    <row r="60" spans="1:42" ht="15" thickBot="1" x14ac:dyDescent="0.35">
      <c r="A60" s="7"/>
      <c r="B60" s="109" t="s">
        <v>366</v>
      </c>
      <c r="C60" s="107" t="str">
        <f>AG82</f>
        <v>Osa hřídele nad překladem</v>
      </c>
      <c r="D60" s="110"/>
      <c r="E60" s="110"/>
      <c r="F60" s="111"/>
      <c r="G60" s="122" t="str">
        <f>VLOOKUP(AG76,AG6:AR99,$AE$1+1,FALSE)</f>
        <v>Ovládání elektricky nebo řetězovým převodem</v>
      </c>
      <c r="H60" s="123"/>
      <c r="I60" s="123"/>
      <c r="J60" s="123"/>
      <c r="K60" s="123"/>
      <c r="L60" s="124"/>
      <c r="M60" s="109"/>
      <c r="N60" s="110"/>
      <c r="O60" s="118"/>
      <c r="P60" s="125" t="str">
        <f>IF(OR(K3="",K5="",P58=""),"",K5+P58+70)</f>
        <v/>
      </c>
      <c r="R60" t="str">
        <f>AG33</f>
        <v>Zajistit vhodnou montážní plochu pro řídící jednotku motoru 250 x 400 mm</v>
      </c>
      <c r="AA60" s="1"/>
      <c r="AB60" s="126"/>
      <c r="AG60" t="str">
        <f t="shared" ref="AG60:AG72" si="1">VLOOKUP(AH60,AH60:AR152,$AE$1,FALSE)</f>
        <v>Rozměry jsou v mm</v>
      </c>
      <c r="AH60" t="s">
        <v>367</v>
      </c>
      <c r="AI60" t="s">
        <v>368</v>
      </c>
      <c r="AJ60" t="s">
        <v>369</v>
      </c>
      <c r="AK60" t="s">
        <v>370</v>
      </c>
      <c r="AL60" t="s">
        <v>371</v>
      </c>
      <c r="AM60" t="s">
        <v>372</v>
      </c>
      <c r="AN60" t="s">
        <v>373</v>
      </c>
      <c r="AO60" t="s">
        <v>374</v>
      </c>
      <c r="AP60" t="s">
        <v>375</v>
      </c>
    </row>
    <row r="61" spans="1:42" ht="15" thickBot="1" x14ac:dyDescent="0.35">
      <c r="B61" s="127" t="s">
        <v>376</v>
      </c>
      <c r="C61" s="105" t="str">
        <f>VLOOKUP(AG67,AG7:AR100,$AE$1+1,FALSE)</f>
        <v>Volný prostor vlevo</v>
      </c>
      <c r="D61" s="107"/>
      <c r="E61" s="107"/>
      <c r="F61" s="111"/>
      <c r="G61" s="128" t="s">
        <v>377</v>
      </c>
      <c r="H61" s="129" t="str">
        <f>AG112</f>
        <v>Strana bez motoru</v>
      </c>
      <c r="I61" s="107"/>
      <c r="J61" s="107"/>
      <c r="K61" s="107"/>
      <c r="L61" s="108" t="s">
        <v>361</v>
      </c>
      <c r="M61" s="119" t="str">
        <f>VLOOKUP(AG82,AG6:AR99,$AE$1+1,FALSE)</f>
        <v>Osa hřídele nad překladem</v>
      </c>
      <c r="N61" s="120"/>
      <c r="O61" s="120"/>
      <c r="P61" s="121"/>
      <c r="Q61" s="8"/>
      <c r="R61" s="130" t="str">
        <f>VLOOKUP(AG85,AG2:AR96,$AE$1+1,FALSE)</f>
        <v>Sestavil:</v>
      </c>
      <c r="S61" s="131"/>
      <c r="T61" s="130" t="str">
        <f>VLOOKUP(AG86,AG2:AR96,$AE$1+1,FALSE)</f>
        <v>Upravil:</v>
      </c>
      <c r="U61" s="131"/>
      <c r="V61" s="130" t="str">
        <f>VLOOKUP(AG87,AG2:AR96,$AE$1+1,FALSE)</f>
        <v>Schváleno - datum:</v>
      </c>
      <c r="W61" s="131"/>
      <c r="X61" s="130" t="str">
        <f>VLOOKUP(AG88,AG2:AR96,$AE$1+1,FALSE)</f>
        <v>Název souboru:</v>
      </c>
      <c r="Y61" s="131"/>
      <c r="Z61" s="132" t="str">
        <f>VLOOKUP(AG89,AG2:AR96,$AE$1+1,FALSE)</f>
        <v>Datum:</v>
      </c>
      <c r="AA61" s="128" t="str">
        <f>VLOOKUP(AG90,AG2:AR96,$AE$1+1,FALSE)</f>
        <v>Měřítko</v>
      </c>
      <c r="AB61" s="35" t="str">
        <f>VLOOKUP(AG91,AG2:AR96,$AE$1+1,FALSE)</f>
        <v xml:space="preserve">Formát: </v>
      </c>
      <c r="AG61" t="str">
        <f t="shared" si="1"/>
        <v>Šířka otvoru</v>
      </c>
      <c r="AH61" t="s">
        <v>24</v>
      </c>
      <c r="AI61" t="s">
        <v>25</v>
      </c>
      <c r="AJ61" t="s">
        <v>26</v>
      </c>
      <c r="AK61" t="s">
        <v>27</v>
      </c>
      <c r="AL61" t="s">
        <v>28</v>
      </c>
      <c r="AM61" t="s">
        <v>29</v>
      </c>
      <c r="AN61" t="s">
        <v>30</v>
      </c>
      <c r="AO61" t="s">
        <v>31</v>
      </c>
      <c r="AP61" t="s">
        <v>378</v>
      </c>
    </row>
    <row r="62" spans="1:42" ht="15" thickBot="1" x14ac:dyDescent="0.35">
      <c r="B62" s="109" t="s">
        <v>379</v>
      </c>
      <c r="C62" s="105" t="str">
        <f>VLOOKUP(AG68,AG8:AR101,$AE$1+1,FALSE)</f>
        <v>Volný prostor vravo</v>
      </c>
      <c r="D62" s="105"/>
      <c r="F62" s="133"/>
      <c r="G62" s="134" t="s">
        <v>380</v>
      </c>
      <c r="H62" s="135" t="str">
        <f>AG112</f>
        <v>Strana bez motoru</v>
      </c>
      <c r="I62" s="107"/>
      <c r="J62" s="107"/>
      <c r="L62" t="s">
        <v>381</v>
      </c>
      <c r="M62" s="109" t="s">
        <v>382</v>
      </c>
      <c r="N62" s="110"/>
      <c r="O62" s="110"/>
      <c r="P62" s="111">
        <v>110</v>
      </c>
      <c r="Q62" s="8"/>
      <c r="R62" s="130" t="s">
        <v>383</v>
      </c>
      <c r="S62" s="131"/>
      <c r="T62" s="130" t="s">
        <v>384</v>
      </c>
      <c r="U62" s="131"/>
      <c r="V62" s="136">
        <v>44147</v>
      </c>
      <c r="W62" s="131"/>
      <c r="X62" s="130" t="s">
        <v>385</v>
      </c>
      <c r="Y62" s="131"/>
      <c r="Z62" s="137">
        <v>44147</v>
      </c>
      <c r="AA62" s="134" t="s">
        <v>386</v>
      </c>
      <c r="AB62" s="138" t="s">
        <v>387</v>
      </c>
      <c r="AG62" t="str">
        <f t="shared" si="1"/>
        <v>Výška otvoru</v>
      </c>
      <c r="AH62" t="s">
        <v>34</v>
      </c>
      <c r="AI62" t="s">
        <v>35</v>
      </c>
      <c r="AJ62" t="s">
        <v>36</v>
      </c>
      <c r="AK62" t="s">
        <v>37</v>
      </c>
      <c r="AL62" t="s">
        <v>38</v>
      </c>
      <c r="AM62" t="s">
        <v>39</v>
      </c>
      <c r="AN62" t="s">
        <v>40</v>
      </c>
      <c r="AO62" t="s">
        <v>41</v>
      </c>
      <c r="AP62" t="s">
        <v>388</v>
      </c>
    </row>
    <row r="63" spans="1:42" ht="15.75" customHeight="1" thickBot="1" x14ac:dyDescent="0.35">
      <c r="B63" s="109" t="s">
        <v>389</v>
      </c>
      <c r="C63" s="105" t="str">
        <f>VLOOKUP(AG69,AG10:AR102,$AE$1+1,FALSE)</f>
        <v>Hloubka vedení</v>
      </c>
      <c r="D63" s="110"/>
      <c r="E63" s="110"/>
      <c r="F63" s="111"/>
      <c r="G63" s="109" t="s">
        <v>360</v>
      </c>
      <c r="H63" s="110" t="str">
        <f>VLOOKUP(AG77,AG6:AR99,$AE$1+1,FALSE)</f>
        <v>Motor nebo řetěz. př.</v>
      </c>
      <c r="I63" s="105"/>
      <c r="J63" s="17"/>
      <c r="K63" s="110"/>
      <c r="L63" s="110" t="s">
        <v>390</v>
      </c>
      <c r="M63" s="139" t="str">
        <f>AG116</f>
        <v>Kotvící body pro jekl</v>
      </c>
      <c r="N63" s="140"/>
      <c r="O63" s="140"/>
      <c r="P63" s="141"/>
      <c r="Q63" s="8"/>
      <c r="R63" s="142" t="s">
        <v>391</v>
      </c>
      <c r="S63" s="143"/>
      <c r="T63" s="143"/>
      <c r="U63" s="144"/>
      <c r="V63" s="145" t="str">
        <f>VLOOKUP(AG92,AG2:AR96,$AE$1+1,FALSE)</f>
        <v xml:space="preserve">STAVEBNÍ PŘIPRAVENOST   </v>
      </c>
      <c r="W63" s="146"/>
      <c r="X63" s="146"/>
      <c r="Y63" s="146"/>
      <c r="Z63" s="146"/>
      <c r="AA63" s="146"/>
      <c r="AB63" s="147"/>
      <c r="AG63" t="str">
        <f t="shared" si="1"/>
        <v>High lift</v>
      </c>
      <c r="AH63" t="s">
        <v>392</v>
      </c>
      <c r="AI63" t="s">
        <v>392</v>
      </c>
      <c r="AJ63" t="s">
        <v>393</v>
      </c>
      <c r="AK63" t="s">
        <v>394</v>
      </c>
      <c r="AL63" t="s">
        <v>395</v>
      </c>
      <c r="AM63" t="s">
        <v>392</v>
      </c>
      <c r="AN63" t="s">
        <v>396</v>
      </c>
      <c r="AO63" t="s">
        <v>397</v>
      </c>
      <c r="AP63" t="s">
        <v>398</v>
      </c>
    </row>
    <row r="64" spans="1:42" ht="15.75" customHeight="1" thickBot="1" x14ac:dyDescent="0.35">
      <c r="B64" s="109" t="s">
        <v>399</v>
      </c>
      <c r="C64" s="148" t="str">
        <f>VLOOKUP(AG70,AG14:AR104,$AE$1+1,FALSE)</f>
        <v>Kotvící bod č. 1</v>
      </c>
      <c r="D64" s="110"/>
      <c r="E64" s="110"/>
      <c r="F64" s="111"/>
      <c r="G64" s="109" t="s">
        <v>364</v>
      </c>
      <c r="H64" s="110" t="str">
        <f>VLOOKUP(AG78,AG6:AR99,$AE$1+1,FALSE)</f>
        <v>Hloubka vedení</v>
      </c>
      <c r="I64" s="110"/>
      <c r="J64" s="110"/>
      <c r="K64" s="118" t="s">
        <v>365</v>
      </c>
      <c r="L64" s="111" t="str">
        <f>IF(OR(K3="",K5="",P58=""),"",K5+1250)</f>
        <v/>
      </c>
      <c r="M64" s="109" t="s">
        <v>400</v>
      </c>
      <c r="N64" s="110"/>
      <c r="O64" s="149" t="s">
        <v>401</v>
      </c>
      <c r="P64" s="111" t="str">
        <f>IF(OR(K3="",K5="",P58=""),"",K5+1020)</f>
        <v/>
      </c>
      <c r="Q64" s="8"/>
      <c r="R64" s="150"/>
      <c r="S64" s="151"/>
      <c r="T64" s="151"/>
      <c r="U64" s="152"/>
      <c r="V64" s="153"/>
      <c r="W64" s="154"/>
      <c r="X64" s="154"/>
      <c r="Y64" s="154"/>
      <c r="Z64" s="154"/>
      <c r="AA64" s="154"/>
      <c r="AB64" s="155"/>
      <c r="AG64" t="str">
        <f t="shared" si="1"/>
        <v>Výška stropu</v>
      </c>
      <c r="AH64" t="s">
        <v>402</v>
      </c>
      <c r="AI64" t="s">
        <v>403</v>
      </c>
      <c r="AJ64" t="s">
        <v>404</v>
      </c>
      <c r="AK64" t="s">
        <v>405</v>
      </c>
      <c r="AL64" t="s">
        <v>406</v>
      </c>
      <c r="AM64" t="s">
        <v>407</v>
      </c>
      <c r="AN64" t="s">
        <v>408</v>
      </c>
      <c r="AO64" t="s">
        <v>409</v>
      </c>
      <c r="AP64" t="s">
        <v>410</v>
      </c>
    </row>
    <row r="65" spans="1:90" ht="15.75" customHeight="1" thickBot="1" x14ac:dyDescent="0.35">
      <c r="B65" s="109" t="s">
        <v>411</v>
      </c>
      <c r="C65" s="105" t="str">
        <f>VLOOKUP(AG71,AG15:AR105,$AE$1+1,FALSE)</f>
        <v>Kotvící bod č. 2</v>
      </c>
      <c r="D65" s="107"/>
      <c r="E65" s="110"/>
      <c r="F65" s="111"/>
      <c r="G65" s="112" t="str">
        <f>IF(AND(J68&gt;=3000),"",VLOOKUP(AG79,AG6:AR99,$AE$1+1,FALSE))</f>
        <v/>
      </c>
      <c r="H65" s="112"/>
      <c r="I65" s="112" t="str">
        <f>IF(J68&gt;=3000,"","D&lt;=3000")</f>
        <v/>
      </c>
      <c r="J65" s="112"/>
      <c r="K65" s="112"/>
      <c r="L65" s="114"/>
      <c r="M65" s="156" t="str">
        <f>IF(J68&gt;=4500,VLOOKUP(AG79,AG6:AR99,$AE$1+1,FALSE),"")</f>
        <v>Kotvící bod, když je</v>
      </c>
      <c r="N65" s="157"/>
      <c r="O65" s="158" t="str">
        <f>IF(J68&gt;=4500,"D&gt;=4500","")</f>
        <v>D&gt;=4500</v>
      </c>
      <c r="P65" s="159"/>
      <c r="Q65" s="8"/>
      <c r="R65" s="50"/>
      <c r="S65" s="8"/>
      <c r="T65" s="8"/>
      <c r="U65" s="8"/>
      <c r="V65" s="160" t="str">
        <f>AG13</f>
        <v>VEDENÍ PRO NÍZKÝ PŘEKLAD (LL-CE)</v>
      </c>
      <c r="W65" s="161"/>
      <c r="X65" s="161"/>
      <c r="Y65" s="161"/>
      <c r="Z65" s="161"/>
      <c r="AA65" s="161"/>
      <c r="AB65" s="162"/>
      <c r="AG65" t="str">
        <f t="shared" si="1"/>
        <v>Volný prostor nad překladem</v>
      </c>
      <c r="AH65" t="s">
        <v>412</v>
      </c>
      <c r="AI65" t="s">
        <v>413</v>
      </c>
      <c r="AJ65" t="s">
        <v>414</v>
      </c>
      <c r="AK65" t="s">
        <v>415</v>
      </c>
      <c r="AL65" t="s">
        <v>416</v>
      </c>
      <c r="AM65" t="s">
        <v>417</v>
      </c>
      <c r="AN65" t="s">
        <v>418</v>
      </c>
      <c r="AO65" t="s">
        <v>419</v>
      </c>
      <c r="AP65" t="s">
        <v>420</v>
      </c>
    </row>
    <row r="66" spans="1:90" ht="15.75" customHeight="1" thickBot="1" x14ac:dyDescent="0.35">
      <c r="B66" s="109" t="s">
        <v>421</v>
      </c>
      <c r="C66" s="163" t="str">
        <f>AG116</f>
        <v>Kotvící body pro jekl</v>
      </c>
      <c r="E66" s="105"/>
      <c r="F66" s="111"/>
      <c r="G66" s="109" t="str">
        <f>IF(J68&gt;=3000,"","X")</f>
        <v/>
      </c>
      <c r="H66" s="107" t="str">
        <f>IF(J68&gt;=3000,"",VLOOKUP(AG80,AG6:AR99,$AE$1+1,FALSE))</f>
        <v/>
      </c>
      <c r="I66" s="107"/>
      <c r="J66" s="107"/>
      <c r="K66" s="164" t="str">
        <f>IF(J68&gt;=3000,"","H")</f>
        <v/>
      </c>
      <c r="L66" s="108" t="str">
        <f>IF(J68&gt;=3000,"",IF(OR(K3="",K5="",P58=""),"",K5))</f>
        <v/>
      </c>
      <c r="M66" s="109" t="str">
        <f>IF(J68&gt;=4500,"X","")</f>
        <v>X</v>
      </c>
      <c r="N66" s="165" t="str">
        <f>IF(J68&gt;=4500,AG70,"")</f>
        <v>Kotvící bod č. 1</v>
      </c>
      <c r="O66" s="166" t="str">
        <f>IF(J68&gt;=4500,"H","")</f>
        <v>H</v>
      </c>
      <c r="P66" s="108">
        <f>IF(J68&gt;=4500,K5,"")</f>
        <v>0</v>
      </c>
      <c r="Q66" s="8"/>
      <c r="R66" s="50"/>
      <c r="S66" s="8"/>
      <c r="T66" s="8"/>
      <c r="U66" s="8"/>
      <c r="V66" s="160"/>
      <c r="W66" s="161"/>
      <c r="X66" s="161"/>
      <c r="Y66" s="161"/>
      <c r="Z66" s="161"/>
      <c r="AA66" s="161"/>
      <c r="AB66" s="162"/>
      <c r="AG66" t="str">
        <f t="shared" si="1"/>
        <v>Výška montážní plochy nad otvorem</v>
      </c>
      <c r="AH66" t="s">
        <v>422</v>
      </c>
      <c r="AI66" t="s">
        <v>423</v>
      </c>
      <c r="AJ66" t="s">
        <v>424</v>
      </c>
      <c r="AK66" t="s">
        <v>425</v>
      </c>
      <c r="AL66" t="s">
        <v>426</v>
      </c>
      <c r="AM66" t="s">
        <v>427</v>
      </c>
      <c r="AN66" t="s">
        <v>428</v>
      </c>
      <c r="AO66" t="s">
        <v>429</v>
      </c>
      <c r="AP66" t="s">
        <v>430</v>
      </c>
    </row>
    <row r="67" spans="1:90" ht="15.75" customHeight="1" thickBot="1" x14ac:dyDescent="0.35">
      <c r="B67" s="167"/>
      <c r="C67" s="106"/>
      <c r="D67" s="110"/>
      <c r="E67" s="110"/>
      <c r="F67" s="111"/>
      <c r="G67" s="16" t="str">
        <f>IF(AND(J68&gt;=3000,J68&lt;4500),VLOOKUP(AG79,AG6:AR99,$AE$1+1,FALSE),"")</f>
        <v/>
      </c>
      <c r="H67" s="16"/>
      <c r="I67" s="112" t="str">
        <f>IF(AND(J68&gt;=3000,J68&lt;4500),"3000=&lt;D&lt;4500","")</f>
        <v/>
      </c>
      <c r="J67" s="16"/>
      <c r="K67" s="16"/>
      <c r="L67" s="16"/>
      <c r="M67" s="109" t="str">
        <f>IF(J68&gt;=4500,"Y","")</f>
        <v>Y</v>
      </c>
      <c r="N67" s="165" t="str">
        <f>IF(J68&gt;=4500,AG71,"")</f>
        <v>Kotvící bod č. 2</v>
      </c>
      <c r="O67" s="168" t="str">
        <f>IF(J68&gt;=4500,"(X/3)*2","")</f>
        <v>(X/3)*2</v>
      </c>
      <c r="P67" s="169">
        <f>IF(J68&gt;=4500,(P66/3)*2,"")</f>
        <v>0</v>
      </c>
      <c r="Q67" s="8"/>
      <c r="R67" s="50"/>
      <c r="S67" s="8"/>
      <c r="T67" s="8"/>
      <c r="U67" s="8"/>
      <c r="V67" s="170"/>
      <c r="W67" s="171"/>
      <c r="X67" s="171"/>
      <c r="Y67" s="171"/>
      <c r="Z67" s="171"/>
      <c r="AA67" s="171"/>
      <c r="AB67" s="172"/>
      <c r="AG67" t="str">
        <f t="shared" si="1"/>
        <v>Volný prostor vlevo</v>
      </c>
      <c r="AH67" t="s">
        <v>431</v>
      </c>
      <c r="AI67" t="s">
        <v>432</v>
      </c>
      <c r="AJ67" t="s">
        <v>433</v>
      </c>
      <c r="AK67" t="s">
        <v>434</v>
      </c>
      <c r="AL67" t="s">
        <v>435</v>
      </c>
      <c r="AM67" t="s">
        <v>436</v>
      </c>
      <c r="AN67" t="s">
        <v>437</v>
      </c>
      <c r="AO67" t="s">
        <v>438</v>
      </c>
      <c r="AP67" t="s">
        <v>439</v>
      </c>
    </row>
    <row r="68" spans="1:90" ht="15" thickBot="1" x14ac:dyDescent="0.35">
      <c r="A68" s="7"/>
      <c r="B68" s="173"/>
      <c r="D68" s="105"/>
      <c r="E68" s="105"/>
      <c r="F68" s="133"/>
      <c r="G68" s="109" t="str">
        <f>IF(AND(J68&gt;=3000,J68&lt;4500),"X","")</f>
        <v/>
      </c>
      <c r="H68" s="110" t="str">
        <f>IF(AND(J68&gt;=3000,J68&lt;4500),(VLOOKUP(AG70,AG6:AR99,$AE$1+1,FALSE)),"")</f>
        <v/>
      </c>
      <c r="J68" s="174" t="str">
        <f>IF($K$7=$AG$102,$L$59,$L$64)</f>
        <v/>
      </c>
      <c r="K68" s="118" t="str">
        <f>IF(AND(J68&gt;=3000,J68&lt;4500),"H","")</f>
        <v/>
      </c>
      <c r="L68" s="111" t="str">
        <f>IF(AND(J68&gt;=3000,J68&lt;4500),IF(OR(K3="",K5="",P58=""),"",K5),"")</f>
        <v/>
      </c>
      <c r="M68" s="109" t="str">
        <f>IF(J68&gt;=4500,"Y2","")</f>
        <v>Y2</v>
      </c>
      <c r="N68" s="165" t="str">
        <f>IF(J68&gt;=4500,AG72,"")</f>
        <v>Kotvící bod č. 3</v>
      </c>
      <c r="O68" s="175" t="str">
        <f>IF(J68&gt;=4500, "X/3","")</f>
        <v>X/3</v>
      </c>
      <c r="P68" s="169">
        <f>IF(J68&gt;=4500,P66/3,"")</f>
        <v>0</v>
      </c>
      <c r="Q68" s="8"/>
      <c r="R68" s="50"/>
      <c r="S68" s="8"/>
      <c r="T68" s="8"/>
      <c r="U68" s="8"/>
      <c r="V68" s="176" t="str">
        <f>AG13</f>
        <v>VEDENÍ PRO NÍZKÝ PŘEKLAD (LL-CE)</v>
      </c>
      <c r="W68" s="177"/>
      <c r="X68" s="177"/>
      <c r="Y68" s="178"/>
      <c r="Z68" s="128" t="str">
        <f>VLOOKUP(AG95,AG2:AR96,$AE$1+1,FALSE)</f>
        <v>Kód:</v>
      </c>
      <c r="AA68" s="130" t="str">
        <f>VLOOKUP(AG96,AG2:AR96,$AE$1+1,FALSE)</f>
        <v>Verze:</v>
      </c>
      <c r="AB68" s="131"/>
      <c r="AG68" t="str">
        <f t="shared" si="1"/>
        <v>Volný prostor vravo</v>
      </c>
      <c r="AH68" t="s">
        <v>440</v>
      </c>
      <c r="AI68" t="s">
        <v>441</v>
      </c>
      <c r="AJ68" t="s">
        <v>442</v>
      </c>
      <c r="AK68" t="s">
        <v>443</v>
      </c>
      <c r="AL68" t="s">
        <v>444</v>
      </c>
      <c r="AM68" t="s">
        <v>445</v>
      </c>
      <c r="AN68" t="s">
        <v>446</v>
      </c>
      <c r="AO68" t="s">
        <v>447</v>
      </c>
      <c r="AP68" t="s">
        <v>448</v>
      </c>
    </row>
    <row r="69" spans="1:90" ht="15" thickBot="1" x14ac:dyDescent="0.35">
      <c r="B69" s="179"/>
      <c r="C69" s="110"/>
      <c r="D69" s="110"/>
      <c r="E69" s="110"/>
      <c r="F69" s="111"/>
      <c r="G69" s="109" t="str">
        <f>IF(AND(J68&gt;=3000,J68&lt;4500),"Y","")</f>
        <v/>
      </c>
      <c r="H69" s="110" t="str">
        <f>IF(AND(J68&gt;=3000,J68&lt;4500),(VLOOKUP(AG71,AG6:AR99,$AE$1+1,FALSE)),"")</f>
        <v/>
      </c>
      <c r="I69" s="110"/>
      <c r="J69" s="110"/>
      <c r="K69" s="118" t="str">
        <f>IF(AND(J68&gt;=3000,J68&lt;4500),"1/2 X","")</f>
        <v/>
      </c>
      <c r="L69" s="111" t="str">
        <f>IF(AND(J68&gt;=3000,J68&lt;4500),(IF(OR(K3="",K5="",P58=""),"",L68/2)),"")</f>
        <v/>
      </c>
      <c r="M69" s="180"/>
      <c r="N69" s="105"/>
      <c r="O69" s="105"/>
      <c r="P69" s="133"/>
      <c r="Q69" s="1"/>
      <c r="R69" s="181"/>
      <c r="S69" s="1"/>
      <c r="T69" s="1"/>
      <c r="U69" s="1"/>
      <c r="V69" s="182"/>
      <c r="W69" s="183"/>
      <c r="X69" s="183"/>
      <c r="Y69" s="184"/>
      <c r="Z69" s="185" t="s">
        <v>449</v>
      </c>
      <c r="AA69" s="186">
        <v>2046</v>
      </c>
      <c r="AB69" s="187"/>
      <c r="AG69" t="str">
        <f t="shared" si="1"/>
        <v>Hloubka vedení</v>
      </c>
      <c r="AH69" t="s">
        <v>450</v>
      </c>
      <c r="AI69" t="s">
        <v>451</v>
      </c>
      <c r="AJ69" t="s">
        <v>452</v>
      </c>
      <c r="AK69" t="s">
        <v>453</v>
      </c>
      <c r="AL69" t="s">
        <v>454</v>
      </c>
      <c r="AM69" t="s">
        <v>455</v>
      </c>
      <c r="AN69" t="s">
        <v>456</v>
      </c>
      <c r="AO69" t="s">
        <v>457</v>
      </c>
      <c r="AP69" t="s">
        <v>458</v>
      </c>
    </row>
    <row r="70" spans="1:90" x14ac:dyDescent="0.3"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24"/>
      <c r="W70" s="24"/>
      <c r="X70" s="24"/>
      <c r="Y70" s="24"/>
      <c r="Z70" s="8"/>
      <c r="AA70" s="8"/>
      <c r="AB70" s="8"/>
      <c r="AG70" t="str">
        <f t="shared" si="1"/>
        <v>Kotvící bod č. 1</v>
      </c>
      <c r="AH70" t="s">
        <v>459</v>
      </c>
      <c r="AI70" t="s">
        <v>460</v>
      </c>
      <c r="AJ70" t="s">
        <v>461</v>
      </c>
      <c r="AK70" t="s">
        <v>462</v>
      </c>
      <c r="AL70" t="s">
        <v>463</v>
      </c>
      <c r="AM70" t="s">
        <v>464</v>
      </c>
      <c r="AN70" t="s">
        <v>465</v>
      </c>
      <c r="AO70" t="s">
        <v>466</v>
      </c>
      <c r="AP70" t="s">
        <v>467</v>
      </c>
    </row>
    <row r="71" spans="1:90" x14ac:dyDescent="0.3"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24"/>
      <c r="W71" s="24"/>
      <c r="X71" s="24"/>
      <c r="Y71" s="24"/>
      <c r="Z71" s="8"/>
      <c r="AA71" s="8"/>
      <c r="AB71" s="8"/>
      <c r="AG71" t="str">
        <f t="shared" si="1"/>
        <v>Kotvící bod č. 2</v>
      </c>
      <c r="AH71" t="s">
        <v>468</v>
      </c>
      <c r="AI71" t="s">
        <v>469</v>
      </c>
      <c r="AJ71" t="s">
        <v>470</v>
      </c>
      <c r="AK71" t="s">
        <v>471</v>
      </c>
      <c r="AL71" t="s">
        <v>472</v>
      </c>
      <c r="AM71" t="s">
        <v>473</v>
      </c>
      <c r="AN71" t="s">
        <v>474</v>
      </c>
      <c r="AO71" t="s">
        <v>475</v>
      </c>
      <c r="AP71" t="s">
        <v>476</v>
      </c>
    </row>
    <row r="72" spans="1:90" x14ac:dyDescent="0.3"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24"/>
      <c r="W72" s="24"/>
      <c r="X72" s="24"/>
      <c r="Y72" s="24"/>
      <c r="Z72" s="8"/>
      <c r="AA72" s="8"/>
      <c r="AB72" s="8"/>
      <c r="AG72" t="str">
        <f t="shared" si="1"/>
        <v>Kotvící bod č. 3</v>
      </c>
      <c r="AH72" t="s">
        <v>477</v>
      </c>
      <c r="AI72" t="s">
        <v>478</v>
      </c>
      <c r="AJ72" t="s">
        <v>479</v>
      </c>
      <c r="AK72" t="s">
        <v>480</v>
      </c>
      <c r="AL72" t="s">
        <v>481</v>
      </c>
      <c r="AM72" t="s">
        <v>482</v>
      </c>
      <c r="AN72" t="s">
        <v>483</v>
      </c>
      <c r="AO72" t="s">
        <v>484</v>
      </c>
      <c r="AP72" t="s">
        <v>485</v>
      </c>
    </row>
    <row r="73" spans="1:90" x14ac:dyDescent="0.3">
      <c r="F73" s="8"/>
      <c r="G73" s="28"/>
      <c r="H73" s="28"/>
      <c r="I73" s="28"/>
      <c r="J73" s="28"/>
      <c r="K73" s="28"/>
      <c r="L73" s="28"/>
      <c r="M73" s="8"/>
      <c r="N73" s="8"/>
      <c r="AG73" t="str">
        <f>VLOOKUP(AH73,AH73:AR164,$AE$1,FALSE)</f>
        <v>Volný prostor nad překladem</v>
      </c>
      <c r="AH73" t="s">
        <v>412</v>
      </c>
      <c r="AI73" t="s">
        <v>486</v>
      </c>
      <c r="AJ73" t="s">
        <v>487</v>
      </c>
      <c r="AK73" t="s">
        <v>488</v>
      </c>
      <c r="AL73" t="s">
        <v>489</v>
      </c>
      <c r="AM73" t="s">
        <v>490</v>
      </c>
      <c r="AN73" t="s">
        <v>491</v>
      </c>
      <c r="AO73" t="s">
        <v>492</v>
      </c>
      <c r="AP73" t="s">
        <v>493</v>
      </c>
      <c r="AS73" s="39"/>
    </row>
    <row r="74" spans="1:90" x14ac:dyDescent="0.3">
      <c r="F74" s="8"/>
      <c r="G74" s="46"/>
      <c r="H74" s="28"/>
      <c r="I74" s="28"/>
      <c r="J74" s="28"/>
      <c r="K74" s="28"/>
      <c r="L74" s="28"/>
      <c r="M74" s="8"/>
      <c r="N74" s="8"/>
      <c r="AG74" t="str">
        <f t="shared" ref="AG74:AG122" si="2">VLOOKUP(AH74,AH74:AR165,$AE$1,FALSE)</f>
        <v>Ruční ovládání</v>
      </c>
      <c r="AH74" t="s">
        <v>494</v>
      </c>
      <c r="AI74" t="s">
        <v>495</v>
      </c>
      <c r="AJ74" t="s">
        <v>496</v>
      </c>
      <c r="AK74" t="s">
        <v>497</v>
      </c>
      <c r="AL74" t="s">
        <v>498</v>
      </c>
      <c r="AM74" t="s">
        <v>499</v>
      </c>
      <c r="AN74" t="s">
        <v>500</v>
      </c>
      <c r="AO74" t="s">
        <v>501</v>
      </c>
      <c r="AP74" t="s">
        <v>502</v>
      </c>
    </row>
    <row r="75" spans="1:90" x14ac:dyDescent="0.3">
      <c r="F75" s="8"/>
      <c r="G75" s="8"/>
      <c r="H75" s="8"/>
      <c r="I75" s="8"/>
      <c r="J75" s="8"/>
      <c r="K75" s="8"/>
      <c r="L75" s="8"/>
      <c r="M75" s="8"/>
      <c r="N75" s="8"/>
      <c r="AG75" t="str">
        <f t="shared" si="2"/>
        <v>Obě strany</v>
      </c>
      <c r="AH75" s="39" t="s">
        <v>503</v>
      </c>
      <c r="AI75" s="39" t="s">
        <v>504</v>
      </c>
      <c r="AJ75" s="39" t="s">
        <v>505</v>
      </c>
      <c r="AK75" s="39" t="s">
        <v>506</v>
      </c>
      <c r="AL75" s="39" t="s">
        <v>507</v>
      </c>
      <c r="AM75" s="39" t="s">
        <v>508</v>
      </c>
      <c r="AN75" t="s">
        <v>509</v>
      </c>
      <c r="AO75" t="s">
        <v>510</v>
      </c>
      <c r="AP75" t="s">
        <v>511</v>
      </c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</row>
    <row r="76" spans="1:90" x14ac:dyDescent="0.3">
      <c r="L76" s="8"/>
      <c r="M76" s="8"/>
      <c r="N76" s="8"/>
      <c r="O76" s="8"/>
      <c r="P76" s="8"/>
      <c r="Q76" s="8"/>
      <c r="R76" s="8"/>
      <c r="S76" s="8"/>
      <c r="T76" s="8"/>
      <c r="AG76" t="str">
        <f t="shared" si="2"/>
        <v>Ovládání elektricky nebo řetězovým převodem</v>
      </c>
      <c r="AH76" t="s">
        <v>512</v>
      </c>
      <c r="AI76" t="s">
        <v>513</v>
      </c>
      <c r="AJ76" t="s">
        <v>514</v>
      </c>
      <c r="AK76" t="s">
        <v>515</v>
      </c>
      <c r="AL76" t="s">
        <v>516</v>
      </c>
      <c r="AM76" t="s">
        <v>517</v>
      </c>
      <c r="AN76" t="s">
        <v>518</v>
      </c>
      <c r="AO76" t="s">
        <v>519</v>
      </c>
      <c r="AP76" t="s">
        <v>520</v>
      </c>
    </row>
    <row r="77" spans="1:90" x14ac:dyDescent="0.3">
      <c r="L77" s="8"/>
      <c r="M77" s="8"/>
      <c r="N77" s="8"/>
      <c r="O77" s="8"/>
      <c r="P77" s="8"/>
      <c r="Q77" s="8"/>
      <c r="R77" s="8"/>
      <c r="S77" s="8"/>
      <c r="T77" s="8"/>
      <c r="AG77" t="str">
        <f t="shared" si="2"/>
        <v>Motor nebo řetěz. př.</v>
      </c>
      <c r="AH77" t="s">
        <v>521</v>
      </c>
      <c r="AI77" t="s">
        <v>522</v>
      </c>
      <c r="AJ77" t="s">
        <v>523</v>
      </c>
      <c r="AK77" t="s">
        <v>524</v>
      </c>
      <c r="AL77" t="s">
        <v>525</v>
      </c>
      <c r="AM77" t="s">
        <v>526</v>
      </c>
      <c r="AN77" t="s">
        <v>527</v>
      </c>
      <c r="AO77" t="s">
        <v>528</v>
      </c>
      <c r="AP77" t="s">
        <v>529</v>
      </c>
    </row>
    <row r="78" spans="1:90" x14ac:dyDescent="0.3">
      <c r="L78" s="8"/>
      <c r="M78" s="8"/>
      <c r="N78" s="8"/>
      <c r="O78" s="8"/>
      <c r="P78" s="8"/>
      <c r="Q78" s="8"/>
      <c r="R78" s="8"/>
      <c r="S78" s="8"/>
      <c r="T78" s="8"/>
      <c r="AG78" t="str">
        <f t="shared" si="2"/>
        <v>Hloubka vedení</v>
      </c>
      <c r="AH78" t="s">
        <v>450</v>
      </c>
      <c r="AI78" t="s">
        <v>451</v>
      </c>
      <c r="AJ78" t="s">
        <v>452</v>
      </c>
      <c r="AK78" t="s">
        <v>530</v>
      </c>
      <c r="AL78" t="s">
        <v>454</v>
      </c>
      <c r="AM78" t="s">
        <v>455</v>
      </c>
      <c r="AN78" t="s">
        <v>456</v>
      </c>
      <c r="AO78" t="s">
        <v>531</v>
      </c>
      <c r="AP78" t="s">
        <v>458</v>
      </c>
    </row>
    <row r="79" spans="1:90" x14ac:dyDescent="0.3">
      <c r="L79" s="8"/>
      <c r="M79" s="8"/>
      <c r="N79" s="8"/>
      <c r="O79" s="8"/>
      <c r="P79" s="8"/>
      <c r="Q79" s="8"/>
      <c r="R79" s="8"/>
      <c r="S79" s="8"/>
      <c r="T79" s="8"/>
      <c r="AG79" t="str">
        <f t="shared" si="2"/>
        <v>Kotvící bod, když je</v>
      </c>
      <c r="AH79" t="s">
        <v>532</v>
      </c>
      <c r="AI79" t="s">
        <v>533</v>
      </c>
      <c r="AJ79" t="s">
        <v>534</v>
      </c>
      <c r="AK79" t="s">
        <v>535</v>
      </c>
      <c r="AL79" t="s">
        <v>536</v>
      </c>
      <c r="AM79" t="s">
        <v>537</v>
      </c>
      <c r="AN79" t="s">
        <v>538</v>
      </c>
      <c r="AO79" t="s">
        <v>539</v>
      </c>
      <c r="AP79" t="s">
        <v>540</v>
      </c>
    </row>
    <row r="80" spans="1:90" x14ac:dyDescent="0.3">
      <c r="L80" s="8"/>
      <c r="M80" s="8"/>
      <c r="N80" s="8"/>
      <c r="O80" s="8"/>
      <c r="P80" s="8"/>
      <c r="Q80" s="8"/>
      <c r="R80" s="8"/>
      <c r="S80" s="8"/>
      <c r="T80" s="8"/>
      <c r="AG80" t="str">
        <f t="shared" si="2"/>
        <v>Kotvící bod</v>
      </c>
      <c r="AH80" t="s">
        <v>541</v>
      </c>
      <c r="AI80" t="s">
        <v>542</v>
      </c>
      <c r="AJ80" t="s">
        <v>543</v>
      </c>
      <c r="AK80" t="s">
        <v>544</v>
      </c>
      <c r="AL80" t="s">
        <v>545</v>
      </c>
      <c r="AM80" t="s">
        <v>546</v>
      </c>
      <c r="AN80" t="s">
        <v>547</v>
      </c>
      <c r="AO80" t="s">
        <v>548</v>
      </c>
      <c r="AP80" t="s">
        <v>549</v>
      </c>
    </row>
    <row r="81" spans="12:42" x14ac:dyDescent="0.3">
      <c r="L81" s="8"/>
      <c r="M81" s="8"/>
      <c r="N81" s="8"/>
      <c r="O81" s="8"/>
      <c r="P81" s="8"/>
      <c r="Q81" s="8"/>
      <c r="R81" s="8"/>
      <c r="S81" s="8"/>
      <c r="T81" s="8"/>
      <c r="AG81" t="str">
        <f t="shared" si="2"/>
        <v>Volný prostor nad překladem</v>
      </c>
      <c r="AH81" t="s">
        <v>412</v>
      </c>
      <c r="AI81" t="s">
        <v>413</v>
      </c>
      <c r="AJ81" t="s">
        <v>414</v>
      </c>
      <c r="AK81" t="s">
        <v>550</v>
      </c>
      <c r="AL81" t="s">
        <v>416</v>
      </c>
      <c r="AM81" t="s">
        <v>417</v>
      </c>
      <c r="AN81" t="s">
        <v>551</v>
      </c>
      <c r="AO81" t="s">
        <v>552</v>
      </c>
      <c r="AP81" t="s">
        <v>420</v>
      </c>
    </row>
    <row r="82" spans="12:42" x14ac:dyDescent="0.3">
      <c r="L82" s="8"/>
      <c r="M82" s="8"/>
      <c r="N82" s="8"/>
      <c r="O82" s="8"/>
      <c r="P82" s="188"/>
      <c r="Q82" s="188"/>
      <c r="R82" s="8"/>
      <c r="S82" s="8"/>
      <c r="T82" s="8"/>
      <c r="AG82" t="str">
        <f t="shared" si="2"/>
        <v>Osa hřídele nad překladem</v>
      </c>
      <c r="AH82" t="s">
        <v>553</v>
      </c>
      <c r="AI82" t="s">
        <v>554</v>
      </c>
      <c r="AJ82" t="s">
        <v>555</v>
      </c>
      <c r="AK82" t="s">
        <v>556</v>
      </c>
      <c r="AL82" t="s">
        <v>557</v>
      </c>
      <c r="AM82" t="s">
        <v>558</v>
      </c>
      <c r="AN82" t="s">
        <v>559</v>
      </c>
      <c r="AO82" t="s">
        <v>560</v>
      </c>
      <c r="AP82" t="s">
        <v>561</v>
      </c>
    </row>
    <row r="83" spans="12:42" x14ac:dyDescent="0.3">
      <c r="L83" s="8"/>
      <c r="M83" s="8"/>
      <c r="N83" s="8"/>
      <c r="O83" s="8"/>
      <c r="P83" s="8"/>
      <c r="Q83" s="8"/>
      <c r="R83" s="8"/>
      <c r="S83" s="8"/>
      <c r="T83" s="8"/>
    </row>
    <row r="85" spans="12:42" x14ac:dyDescent="0.3">
      <c r="AG85" t="str">
        <f t="shared" si="2"/>
        <v>Sestavil:</v>
      </c>
      <c r="AH85" t="s">
        <v>562</v>
      </c>
      <c r="AI85" t="s">
        <v>563</v>
      </c>
      <c r="AJ85" t="s">
        <v>564</v>
      </c>
      <c r="AK85" t="s">
        <v>565</v>
      </c>
      <c r="AL85" t="s">
        <v>566</v>
      </c>
      <c r="AM85" t="s">
        <v>567</v>
      </c>
      <c r="AN85" t="s">
        <v>568</v>
      </c>
      <c r="AO85" t="s">
        <v>569</v>
      </c>
      <c r="AP85" t="s">
        <v>570</v>
      </c>
    </row>
    <row r="86" spans="12:42" x14ac:dyDescent="0.3">
      <c r="AG86" t="str">
        <f t="shared" si="2"/>
        <v>Upravil:</v>
      </c>
      <c r="AH86" t="s">
        <v>571</v>
      </c>
      <c r="AI86" t="s">
        <v>572</v>
      </c>
      <c r="AJ86" t="s">
        <v>573</v>
      </c>
      <c r="AK86" t="s">
        <v>574</v>
      </c>
      <c r="AL86" t="s">
        <v>575</v>
      </c>
      <c r="AM86" t="s">
        <v>576</v>
      </c>
      <c r="AN86" t="s">
        <v>577</v>
      </c>
      <c r="AO86" t="s">
        <v>578</v>
      </c>
      <c r="AP86" t="s">
        <v>579</v>
      </c>
    </row>
    <row r="87" spans="12:42" x14ac:dyDescent="0.3">
      <c r="AG87" t="str">
        <f t="shared" si="2"/>
        <v>Schváleno - datum:</v>
      </c>
      <c r="AH87" t="s">
        <v>580</v>
      </c>
      <c r="AI87" t="s">
        <v>581</v>
      </c>
      <c r="AJ87" t="s">
        <v>582</v>
      </c>
      <c r="AK87" t="s">
        <v>583</v>
      </c>
      <c r="AL87" t="s">
        <v>584</v>
      </c>
      <c r="AM87" t="s">
        <v>585</v>
      </c>
      <c r="AN87" t="s">
        <v>586</v>
      </c>
      <c r="AO87" t="s">
        <v>587</v>
      </c>
      <c r="AP87" t="s">
        <v>588</v>
      </c>
    </row>
    <row r="88" spans="12:42" x14ac:dyDescent="0.3">
      <c r="AG88" t="str">
        <f t="shared" si="2"/>
        <v>Název souboru:</v>
      </c>
      <c r="AH88" t="s">
        <v>589</v>
      </c>
      <c r="AI88" t="s">
        <v>590</v>
      </c>
      <c r="AJ88" t="s">
        <v>591</v>
      </c>
      <c r="AK88" t="s">
        <v>592</v>
      </c>
      <c r="AL88" t="s">
        <v>593</v>
      </c>
      <c r="AM88" t="s">
        <v>594</v>
      </c>
      <c r="AN88" t="s">
        <v>595</v>
      </c>
      <c r="AO88" t="s">
        <v>596</v>
      </c>
      <c r="AP88" t="s">
        <v>597</v>
      </c>
    </row>
    <row r="89" spans="12:42" x14ac:dyDescent="0.3">
      <c r="AG89" t="str">
        <f t="shared" si="2"/>
        <v>Datum:</v>
      </c>
      <c r="AH89" t="s">
        <v>598</v>
      </c>
      <c r="AI89" t="s">
        <v>599</v>
      </c>
      <c r="AJ89" t="s">
        <v>598</v>
      </c>
      <c r="AK89" t="s">
        <v>600</v>
      </c>
      <c r="AL89" t="s">
        <v>601</v>
      </c>
      <c r="AM89" t="s">
        <v>598</v>
      </c>
      <c r="AN89" t="s">
        <v>602</v>
      </c>
      <c r="AO89" t="s">
        <v>603</v>
      </c>
      <c r="AP89" t="s">
        <v>604</v>
      </c>
    </row>
    <row r="90" spans="12:42" x14ac:dyDescent="0.3">
      <c r="AG90" t="str">
        <f t="shared" si="2"/>
        <v>Měřítko</v>
      </c>
      <c r="AH90" t="s">
        <v>605</v>
      </c>
      <c r="AI90" t="s">
        <v>606</v>
      </c>
      <c r="AJ90" t="s">
        <v>607</v>
      </c>
      <c r="AK90" t="s">
        <v>608</v>
      </c>
      <c r="AL90" t="s">
        <v>609</v>
      </c>
      <c r="AM90" t="s">
        <v>610</v>
      </c>
      <c r="AN90" t="s">
        <v>611</v>
      </c>
      <c r="AO90" t="s">
        <v>612</v>
      </c>
      <c r="AP90" t="s">
        <v>613</v>
      </c>
    </row>
    <row r="91" spans="12:42" x14ac:dyDescent="0.3">
      <c r="AG91" t="str">
        <f t="shared" si="2"/>
        <v xml:space="preserve">Formát: </v>
      </c>
      <c r="AH91" t="s">
        <v>614</v>
      </c>
      <c r="AI91" t="s">
        <v>615</v>
      </c>
      <c r="AJ91" t="s">
        <v>616</v>
      </c>
      <c r="AK91" t="s">
        <v>616</v>
      </c>
      <c r="AL91" t="s">
        <v>617</v>
      </c>
      <c r="AM91" t="s">
        <v>615</v>
      </c>
      <c r="AN91" t="s">
        <v>618</v>
      </c>
      <c r="AO91" t="s">
        <v>619</v>
      </c>
      <c r="AP91" t="s">
        <v>620</v>
      </c>
    </row>
    <row r="92" spans="12:42" ht="17.25" customHeight="1" x14ac:dyDescent="0.3">
      <c r="AG92" t="str">
        <f t="shared" si="2"/>
        <v xml:space="preserve">STAVEBNÍ PŘIPRAVENOST   </v>
      </c>
      <c r="AH92" t="s">
        <v>621</v>
      </c>
      <c r="AI92" t="s">
        <v>622</v>
      </c>
      <c r="AJ92" t="s">
        <v>623</v>
      </c>
      <c r="AK92" t="s">
        <v>624</v>
      </c>
      <c r="AL92" t="s">
        <v>625</v>
      </c>
      <c r="AM92" t="s">
        <v>89</v>
      </c>
      <c r="AN92" t="s">
        <v>626</v>
      </c>
      <c r="AO92" t="s">
        <v>627</v>
      </c>
      <c r="AP92" t="s">
        <v>628</v>
      </c>
    </row>
    <row r="93" spans="12:42" x14ac:dyDescent="0.3">
      <c r="AG93" t="str">
        <f t="shared" si="2"/>
        <v xml:space="preserve">pružiny nad překladem </v>
      </c>
      <c r="AH93" t="s">
        <v>629</v>
      </c>
      <c r="AI93" t="s">
        <v>630</v>
      </c>
      <c r="AJ93" t="s">
        <v>631</v>
      </c>
      <c r="AK93" t="s">
        <v>632</v>
      </c>
      <c r="AL93" t="s">
        <v>97</v>
      </c>
      <c r="AM93" t="s">
        <v>98</v>
      </c>
      <c r="AN93" t="s">
        <v>633</v>
      </c>
      <c r="AO93" t="s">
        <v>100</v>
      </c>
      <c r="AP93" t="s">
        <v>101</v>
      </c>
    </row>
    <row r="94" spans="12:42" x14ac:dyDescent="0.3">
      <c r="AG94" t="str">
        <f t="shared" si="2"/>
        <v>VERTIKÁLNÍ SYSTÉM</v>
      </c>
      <c r="AH94" t="s">
        <v>634</v>
      </c>
      <c r="AI94" t="s">
        <v>635</v>
      </c>
      <c r="AJ94" t="s">
        <v>636</v>
      </c>
      <c r="AK94" t="s">
        <v>637</v>
      </c>
      <c r="AL94" t="s">
        <v>638</v>
      </c>
      <c r="AM94" t="s">
        <v>639</v>
      </c>
    </row>
    <row r="95" spans="12:42" x14ac:dyDescent="0.3">
      <c r="AG95" t="str">
        <f t="shared" si="2"/>
        <v>Kód:</v>
      </c>
      <c r="AH95" t="s">
        <v>640</v>
      </c>
      <c r="AI95" t="s">
        <v>641</v>
      </c>
      <c r="AJ95" t="s">
        <v>642</v>
      </c>
      <c r="AK95" t="s">
        <v>643</v>
      </c>
      <c r="AL95" t="s">
        <v>644</v>
      </c>
      <c r="AM95" t="s">
        <v>645</v>
      </c>
      <c r="AN95" t="s">
        <v>646</v>
      </c>
      <c r="AO95" t="s">
        <v>647</v>
      </c>
      <c r="AP95" t="s">
        <v>648</v>
      </c>
    </row>
    <row r="96" spans="12:42" x14ac:dyDescent="0.3">
      <c r="AG96" t="str">
        <f t="shared" si="2"/>
        <v>Verze:</v>
      </c>
      <c r="AH96" t="s">
        <v>649</v>
      </c>
      <c r="AI96" t="s">
        <v>650</v>
      </c>
      <c r="AJ96" t="s">
        <v>650</v>
      </c>
      <c r="AK96" t="s">
        <v>651</v>
      </c>
      <c r="AL96" t="s">
        <v>652</v>
      </c>
      <c r="AM96" t="s">
        <v>653</v>
      </c>
      <c r="AN96" t="s">
        <v>654</v>
      </c>
      <c r="AO96" t="s">
        <v>655</v>
      </c>
      <c r="AP96" t="s">
        <v>656</v>
      </c>
    </row>
    <row r="97" spans="33:42" x14ac:dyDescent="0.3">
      <c r="AG97" t="str">
        <f t="shared" si="2"/>
        <v>NENÍ POŽADOVÁNO</v>
      </c>
      <c r="AH97" t="s">
        <v>657</v>
      </c>
      <c r="AI97" t="s">
        <v>658</v>
      </c>
      <c r="AJ97" t="s">
        <v>659</v>
      </c>
      <c r="AK97" t="s">
        <v>660</v>
      </c>
      <c r="AL97" t="s">
        <v>661</v>
      </c>
      <c r="AM97" t="s">
        <v>662</v>
      </c>
      <c r="AN97" t="s">
        <v>663</v>
      </c>
      <c r="AO97" t="s">
        <v>664</v>
      </c>
      <c r="AP97" t="s">
        <v>665</v>
      </c>
    </row>
    <row r="99" spans="33:42" x14ac:dyDescent="0.3">
      <c r="AG99" t="str">
        <f t="shared" si="2"/>
        <v>Prosím, vyplňte pole, která jsou označena barevně!</v>
      </c>
      <c r="AH99" t="s">
        <v>666</v>
      </c>
      <c r="AI99" t="s">
        <v>667</v>
      </c>
      <c r="AJ99" t="s">
        <v>668</v>
      </c>
      <c r="AK99" t="s">
        <v>669</v>
      </c>
      <c r="AL99" t="s">
        <v>670</v>
      </c>
      <c r="AM99" t="s">
        <v>671</v>
      </c>
      <c r="AN99" t="s">
        <v>672</v>
      </c>
      <c r="AO99" t="s">
        <v>673</v>
      </c>
      <c r="AP99" t="s">
        <v>674</v>
      </c>
    </row>
    <row r="101" spans="33:42" x14ac:dyDescent="0.3">
      <c r="AG101" t="str">
        <f t="shared" si="2"/>
        <v>Ovládání</v>
      </c>
      <c r="AH101" t="s">
        <v>675</v>
      </c>
      <c r="AI101" t="s">
        <v>676</v>
      </c>
      <c r="AJ101" t="s">
        <v>677</v>
      </c>
      <c r="AK101" t="s">
        <v>678</v>
      </c>
      <c r="AL101" t="s">
        <v>679</v>
      </c>
      <c r="AM101" s="17" t="s">
        <v>680</v>
      </c>
      <c r="AN101" s="17" t="s">
        <v>681</v>
      </c>
      <c r="AO101" s="17" t="s">
        <v>682</v>
      </c>
      <c r="AP101" s="17" t="s">
        <v>683</v>
      </c>
    </row>
    <row r="102" spans="33:42" x14ac:dyDescent="0.3">
      <c r="AG102" t="str">
        <f t="shared" si="2"/>
        <v>ručně</v>
      </c>
      <c r="AH102" t="s">
        <v>684</v>
      </c>
      <c r="AI102" t="s">
        <v>685</v>
      </c>
      <c r="AJ102" t="s">
        <v>686</v>
      </c>
      <c r="AK102" t="s">
        <v>687</v>
      </c>
      <c r="AL102" t="s">
        <v>688</v>
      </c>
      <c r="AM102" s="17" t="s">
        <v>686</v>
      </c>
      <c r="AN102" s="17" t="s">
        <v>689</v>
      </c>
      <c r="AO102" s="17" t="s">
        <v>690</v>
      </c>
      <c r="AP102" s="189" t="s">
        <v>691</v>
      </c>
    </row>
    <row r="103" spans="33:42" ht="30" customHeight="1" x14ac:dyDescent="0.3">
      <c r="AG103" t="str">
        <f t="shared" si="2"/>
        <v>elektricky</v>
      </c>
      <c r="AH103" t="s">
        <v>692</v>
      </c>
      <c r="AI103" t="s">
        <v>693</v>
      </c>
      <c r="AJ103" t="s">
        <v>694</v>
      </c>
      <c r="AK103" t="s">
        <v>695</v>
      </c>
      <c r="AL103" t="s">
        <v>696</v>
      </c>
      <c r="AM103" s="17" t="s">
        <v>694</v>
      </c>
      <c r="AN103" s="17" t="s">
        <v>697</v>
      </c>
      <c r="AO103" s="17" t="s">
        <v>698</v>
      </c>
      <c r="AP103" s="189" t="s">
        <v>520</v>
      </c>
    </row>
    <row r="104" spans="33:42" x14ac:dyDescent="0.3">
      <c r="AG104" t="str">
        <f t="shared" si="2"/>
        <v>řetězovým převodem</v>
      </c>
      <c r="AH104" t="s">
        <v>699</v>
      </c>
      <c r="AI104" t="s">
        <v>700</v>
      </c>
      <c r="AJ104" t="s">
        <v>701</v>
      </c>
      <c r="AK104" t="s">
        <v>702</v>
      </c>
      <c r="AL104" t="s">
        <v>703</v>
      </c>
      <c r="AM104" s="17" t="s">
        <v>704</v>
      </c>
      <c r="AN104" s="17" t="s">
        <v>705</v>
      </c>
      <c r="AO104" s="17" t="s">
        <v>706</v>
      </c>
      <c r="AP104" s="190" t="s">
        <v>707</v>
      </c>
    </row>
    <row r="106" spans="33:42" x14ac:dyDescent="0.3">
      <c r="AG106" t="str">
        <f t="shared" si="2"/>
        <v>Umístění motoru</v>
      </c>
      <c r="AH106" t="s">
        <v>708</v>
      </c>
      <c r="AI106" t="s">
        <v>709</v>
      </c>
      <c r="AJ106" t="s">
        <v>710</v>
      </c>
      <c r="AK106" t="s">
        <v>711</v>
      </c>
      <c r="AL106" t="s">
        <v>712</v>
      </c>
      <c r="AM106" t="s">
        <v>713</v>
      </c>
      <c r="AN106" t="s">
        <v>714</v>
      </c>
      <c r="AO106" t="s">
        <v>715</v>
      </c>
      <c r="AP106" t="s">
        <v>716</v>
      </c>
    </row>
    <row r="107" spans="33:42" x14ac:dyDescent="0.3">
      <c r="AG107" t="str">
        <f t="shared" si="2"/>
        <v>Na levé straně</v>
      </c>
      <c r="AH107" t="s">
        <v>717</v>
      </c>
      <c r="AI107" t="s">
        <v>718</v>
      </c>
      <c r="AJ107" t="s">
        <v>719</v>
      </c>
      <c r="AK107" t="s">
        <v>720</v>
      </c>
      <c r="AL107" t="s">
        <v>721</v>
      </c>
      <c r="AM107" t="s">
        <v>722</v>
      </c>
      <c r="AN107" t="s">
        <v>723</v>
      </c>
      <c r="AO107" t="s">
        <v>724</v>
      </c>
      <c r="AP107" t="s">
        <v>725</v>
      </c>
    </row>
    <row r="108" spans="33:42" x14ac:dyDescent="0.3">
      <c r="AG108" t="str">
        <f t="shared" si="2"/>
        <v>Na pravé straně</v>
      </c>
      <c r="AH108" t="s">
        <v>726</v>
      </c>
      <c r="AI108" t="s">
        <v>727</v>
      </c>
      <c r="AJ108" t="s">
        <v>728</v>
      </c>
      <c r="AK108" t="s">
        <v>729</v>
      </c>
      <c r="AL108" t="s">
        <v>730</v>
      </c>
      <c r="AM108" t="s">
        <v>731</v>
      </c>
      <c r="AN108" t="s">
        <v>732</v>
      </c>
      <c r="AO108" t="s">
        <v>733</v>
      </c>
      <c r="AP108" t="s">
        <v>734</v>
      </c>
    </row>
    <row r="110" spans="33:42" x14ac:dyDescent="0.3">
      <c r="AG110" t="str">
        <f t="shared" si="2"/>
        <v>nezbytný boční prostor</v>
      </c>
      <c r="AH110" t="s">
        <v>735</v>
      </c>
      <c r="AI110" t="s">
        <v>736</v>
      </c>
      <c r="AJ110" t="s">
        <v>737</v>
      </c>
      <c r="AK110" t="s">
        <v>738</v>
      </c>
      <c r="AL110" t="s">
        <v>739</v>
      </c>
      <c r="AN110" t="s">
        <v>740</v>
      </c>
      <c r="AO110" t="s">
        <v>741</v>
      </c>
      <c r="AP110" t="s">
        <v>742</v>
      </c>
    </row>
    <row r="112" spans="33:42" x14ac:dyDescent="0.3">
      <c r="AG112" t="str">
        <f t="shared" si="2"/>
        <v>Strana bez motoru</v>
      </c>
      <c r="AH112" t="s">
        <v>743</v>
      </c>
      <c r="AI112" t="s">
        <v>744</v>
      </c>
      <c r="AJ112" t="s">
        <v>745</v>
      </c>
      <c r="AK112" t="s">
        <v>746</v>
      </c>
      <c r="AL112" t="s">
        <v>747</v>
      </c>
      <c r="AN112" t="s">
        <v>748</v>
      </c>
      <c r="AO112" t="s">
        <v>749</v>
      </c>
      <c r="AP112" t="s">
        <v>750</v>
      </c>
    </row>
    <row r="113" spans="33:42" x14ac:dyDescent="0.3">
      <c r="AG113" t="str">
        <f t="shared" si="2"/>
        <v>Vrata s motorem nebo řetězovým převodem musí obsahovat napínací set 688CR (pro zpětné stahování vrat), který se montuje vždy na pravo (nezáleží na umístění motoru)</v>
      </c>
      <c r="AH113" t="s">
        <v>751</v>
      </c>
      <c r="AI113" t="s">
        <v>752</v>
      </c>
      <c r="AJ113" t="s">
        <v>753</v>
      </c>
      <c r="AK113" t="s">
        <v>754</v>
      </c>
      <c r="AL113" t="s">
        <v>755</v>
      </c>
      <c r="AN113" t="s">
        <v>756</v>
      </c>
      <c r="AO113" t="s">
        <v>757</v>
      </c>
      <c r="AP113" t="s">
        <v>758</v>
      </c>
    </row>
    <row r="114" spans="33:42" s="17" customFormat="1" x14ac:dyDescent="0.3"/>
    <row r="115" spans="33:42" s="17" customFormat="1" x14ac:dyDescent="0.3">
      <c r="AG115" s="17" t="str">
        <f t="shared" si="2"/>
        <v>Úhel sklonu střechy</v>
      </c>
      <c r="AH115" s="17" t="s">
        <v>759</v>
      </c>
      <c r="AI115" s="17" t="s">
        <v>760</v>
      </c>
      <c r="AJ115" s="17" t="s">
        <v>761</v>
      </c>
      <c r="AK115" s="17" t="s">
        <v>453</v>
      </c>
      <c r="AL115" s="17" t="s">
        <v>762</v>
      </c>
      <c r="AN115" s="17" t="s">
        <v>763</v>
      </c>
      <c r="AO115" s="17" t="s">
        <v>764</v>
      </c>
      <c r="AP115" s="17" t="s">
        <v>765</v>
      </c>
    </row>
    <row r="116" spans="33:42" s="17" customFormat="1" x14ac:dyDescent="0.3">
      <c r="AG116" s="17" t="str">
        <f t="shared" si="2"/>
        <v>Kotvící body pro jekl</v>
      </c>
      <c r="AH116" s="17" t="s">
        <v>766</v>
      </c>
      <c r="AI116" s="17" t="s">
        <v>767</v>
      </c>
      <c r="AJ116" s="17" t="s">
        <v>768</v>
      </c>
      <c r="AK116" s="17" t="s">
        <v>769</v>
      </c>
      <c r="AL116" s="17" t="s">
        <v>770</v>
      </c>
      <c r="AN116" s="17" t="s">
        <v>771</v>
      </c>
      <c r="AO116" s="17" t="s">
        <v>772</v>
      </c>
      <c r="AP116" s="17" t="s">
        <v>773</v>
      </c>
    </row>
    <row r="117" spans="33:42" s="17" customFormat="1" x14ac:dyDescent="0.3"/>
    <row r="118" spans="33:42" s="17" customFormat="1" x14ac:dyDescent="0.3">
      <c r="AG118" s="17" t="str">
        <f t="shared" si="2"/>
        <v>Jekl 80x40x2 (pozink) je součástí dodávky. Musí se pevně přikotvit ke stropu minimálně na 3 místech (u vrat do 10m2 stačí na 2 místech)</v>
      </c>
      <c r="AH118" s="17" t="s">
        <v>774</v>
      </c>
      <c r="AI118" s="17" t="s">
        <v>775</v>
      </c>
      <c r="AJ118" s="17" t="s">
        <v>776</v>
      </c>
      <c r="AK118" s="17" t="s">
        <v>777</v>
      </c>
      <c r="AL118" s="17" t="s">
        <v>778</v>
      </c>
      <c r="AN118" s="17" t="s">
        <v>779</v>
      </c>
      <c r="AO118" s="17" t="s">
        <v>780</v>
      </c>
      <c r="AP118" s="17" t="s">
        <v>765</v>
      </c>
    </row>
    <row r="119" spans="33:42" s="17" customFormat="1" x14ac:dyDescent="0.3">
      <c r="AG119" s="17" t="str">
        <f t="shared" si="2"/>
        <v>Typ panelu</v>
      </c>
      <c r="AH119" s="17" t="s">
        <v>781</v>
      </c>
      <c r="AI119" s="17" t="s">
        <v>782</v>
      </c>
      <c r="AJ119" s="17" t="s">
        <v>783</v>
      </c>
      <c r="AK119" s="17" t="s">
        <v>784</v>
      </c>
      <c r="AL119" s="17" t="s">
        <v>785</v>
      </c>
      <c r="AM119" s="17" t="s">
        <v>786</v>
      </c>
      <c r="AN119" s="17" t="s">
        <v>787</v>
      </c>
      <c r="AO119" s="17" t="s">
        <v>788</v>
      </c>
      <c r="AP119" s="17" t="s">
        <v>789</v>
      </c>
    </row>
    <row r="120" spans="33:42" s="17" customFormat="1" x14ac:dyDescent="0.3"/>
    <row r="121" spans="33:42" s="17" customFormat="1" x14ac:dyDescent="0.3">
      <c r="AG121" s="17" t="str">
        <f t="shared" si="2"/>
        <v>40mm</v>
      </c>
      <c r="AH121" s="17" t="s">
        <v>790</v>
      </c>
      <c r="AI121" s="17" t="s">
        <v>790</v>
      </c>
      <c r="AJ121" s="17" t="s">
        <v>790</v>
      </c>
      <c r="AK121" s="17" t="s">
        <v>790</v>
      </c>
      <c r="AL121" s="17" t="s">
        <v>790</v>
      </c>
      <c r="AM121" s="17" t="s">
        <v>790</v>
      </c>
      <c r="AN121" s="17" t="s">
        <v>791</v>
      </c>
      <c r="AO121" s="17" t="s">
        <v>790</v>
      </c>
      <c r="AP121" s="17" t="s">
        <v>792</v>
      </c>
    </row>
    <row r="122" spans="33:42" s="17" customFormat="1" x14ac:dyDescent="0.3">
      <c r="AG122" s="17" t="str">
        <f t="shared" si="2"/>
        <v>80mm</v>
      </c>
      <c r="AH122" s="17" t="s">
        <v>793</v>
      </c>
      <c r="AI122" s="17" t="s">
        <v>793</v>
      </c>
      <c r="AJ122" s="17" t="s">
        <v>793</v>
      </c>
      <c r="AK122" s="17" t="s">
        <v>793</v>
      </c>
      <c r="AL122" s="17" t="s">
        <v>793</v>
      </c>
      <c r="AM122" s="17" t="s">
        <v>793</v>
      </c>
      <c r="AN122" s="17" t="s">
        <v>794</v>
      </c>
      <c r="AO122" s="17" t="s">
        <v>793</v>
      </c>
      <c r="AP122" s="17" t="s">
        <v>795</v>
      </c>
    </row>
    <row r="131" spans="40:40" x14ac:dyDescent="0.3">
      <c r="AN131" s="39"/>
    </row>
    <row r="173" spans="40:40" x14ac:dyDescent="0.3">
      <c r="AN173" s="191"/>
    </row>
    <row r="174" spans="40:40" x14ac:dyDescent="0.3">
      <c r="AN174" s="191"/>
    </row>
    <row r="202" spans="34:67" x14ac:dyDescent="0.3"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</row>
    <row r="244" spans="34:67" x14ac:dyDescent="0.3">
      <c r="AH244" s="191"/>
      <c r="AI244" s="191"/>
      <c r="AJ244" s="191"/>
      <c r="AK244" s="191"/>
      <c r="AL244" s="191"/>
      <c r="AM244" s="191"/>
      <c r="AN244" s="191"/>
      <c r="AO244" s="191"/>
      <c r="AP244" s="191"/>
      <c r="AQ244" s="191"/>
      <c r="AR244" s="191"/>
      <c r="AS244" s="191"/>
      <c r="AT244" s="191"/>
      <c r="AU244" s="191"/>
      <c r="AV244" s="191"/>
      <c r="AW244" s="191"/>
      <c r="AX244" s="191"/>
      <c r="AY244" s="191"/>
      <c r="AZ244" s="191"/>
      <c r="BA244" s="191"/>
      <c r="BB244" s="191"/>
      <c r="BC244" s="191"/>
      <c r="BD244" s="191"/>
      <c r="BE244" s="191"/>
      <c r="BF244" s="191"/>
      <c r="BG244" s="191"/>
      <c r="BH244" s="191"/>
      <c r="BI244" s="191"/>
      <c r="BJ244" s="191"/>
      <c r="BK244" s="191"/>
      <c r="BL244" s="191"/>
      <c r="BM244" s="191"/>
      <c r="BN244" s="191"/>
      <c r="BO244" s="191"/>
    </row>
    <row r="245" spans="34:67" x14ac:dyDescent="0.3">
      <c r="AH245" s="191"/>
      <c r="AI245" s="191"/>
      <c r="AJ245" s="191"/>
      <c r="AK245" s="191"/>
      <c r="AL245" s="191"/>
      <c r="AM245" s="191"/>
      <c r="AN245" s="191"/>
      <c r="AO245" s="191"/>
      <c r="AP245" s="191"/>
      <c r="AQ245" s="191"/>
      <c r="AR245" s="191"/>
      <c r="AS245" s="191"/>
      <c r="AT245" s="191"/>
      <c r="AU245" s="191"/>
      <c r="AV245" s="191"/>
      <c r="AW245" s="191"/>
      <c r="AX245" s="191"/>
      <c r="AY245" s="191"/>
      <c r="AZ245" s="191"/>
      <c r="BA245" s="191"/>
      <c r="BB245" s="191"/>
      <c r="BC245" s="191"/>
      <c r="BD245" s="191"/>
      <c r="BE245" s="191"/>
      <c r="BF245" s="191"/>
      <c r="BG245" s="191"/>
      <c r="BH245" s="191"/>
      <c r="BI245" s="191"/>
      <c r="BJ245" s="191"/>
      <c r="BK245" s="191"/>
      <c r="BL245" s="191"/>
      <c r="BM245" s="191"/>
      <c r="BN245" s="191"/>
      <c r="BO245" s="191"/>
    </row>
    <row r="331" spans="34:67" x14ac:dyDescent="0.3">
      <c r="AH331" s="39"/>
      <c r="AI331" s="39"/>
      <c r="AJ331" s="39"/>
      <c r="AK331" s="39"/>
      <c r="AL331" s="39"/>
      <c r="AM331" s="39"/>
      <c r="AN331" s="39"/>
      <c r="AO331" s="39"/>
      <c r="AP331" s="39"/>
      <c r="AQ331" s="39"/>
      <c r="AR331" s="39"/>
      <c r="AS331" s="39"/>
      <c r="AT331" s="39"/>
      <c r="AU331" s="39"/>
      <c r="AV331" s="39"/>
      <c r="AW331" s="39"/>
      <c r="AX331" s="39"/>
      <c r="AY331" s="39"/>
      <c r="AZ331" s="39"/>
      <c r="BA331" s="39"/>
      <c r="BB331" s="39"/>
      <c r="BC331" s="39"/>
      <c r="BD331" s="39"/>
      <c r="BE331" s="39"/>
      <c r="BF331" s="39"/>
      <c r="BG331" s="39"/>
      <c r="BH331" s="39"/>
      <c r="BI331" s="39"/>
      <c r="BJ331" s="39"/>
      <c r="BK331" s="39"/>
      <c r="BL331" s="39"/>
      <c r="BM331" s="39"/>
      <c r="BN331" s="39"/>
      <c r="BO331" s="39"/>
    </row>
    <row r="373" spans="34:67" x14ac:dyDescent="0.3">
      <c r="AH373" s="191"/>
      <c r="AI373" s="191"/>
      <c r="AJ373" s="191"/>
      <c r="AK373" s="191"/>
      <c r="AL373" s="191"/>
      <c r="AM373" s="191"/>
      <c r="AN373" s="191"/>
      <c r="AO373" s="191"/>
      <c r="AP373" s="191"/>
      <c r="AQ373" s="191"/>
      <c r="AR373" s="191"/>
      <c r="AS373" s="191"/>
      <c r="AT373" s="191"/>
      <c r="AU373" s="191"/>
      <c r="AV373" s="191"/>
      <c r="AW373" s="191"/>
      <c r="AX373" s="191"/>
      <c r="AY373" s="191"/>
      <c r="AZ373" s="191"/>
      <c r="BA373" s="191"/>
      <c r="BB373" s="191"/>
      <c r="BC373" s="191"/>
      <c r="BD373" s="191"/>
      <c r="BE373" s="191"/>
      <c r="BF373" s="191"/>
      <c r="BG373" s="191"/>
      <c r="BH373" s="191"/>
      <c r="BI373" s="191"/>
      <c r="BJ373" s="191"/>
      <c r="BK373" s="191"/>
      <c r="BL373" s="191"/>
      <c r="BM373" s="191"/>
      <c r="BN373" s="191"/>
      <c r="BO373" s="191"/>
    </row>
    <row r="374" spans="34:67" x14ac:dyDescent="0.3">
      <c r="AH374" s="191"/>
      <c r="AI374" s="191"/>
      <c r="AJ374" s="191"/>
      <c r="AK374" s="191"/>
      <c r="AL374" s="191"/>
      <c r="AM374" s="191"/>
      <c r="AN374" s="191"/>
      <c r="AO374" s="191"/>
      <c r="AP374" s="191"/>
      <c r="AQ374" s="191"/>
      <c r="AR374" s="191"/>
      <c r="AS374" s="191"/>
      <c r="AT374" s="191"/>
      <c r="AU374" s="191"/>
      <c r="AV374" s="191"/>
      <c r="AW374" s="191"/>
      <c r="AX374" s="191"/>
      <c r="AY374" s="191"/>
      <c r="AZ374" s="191"/>
      <c r="BA374" s="191"/>
      <c r="BB374" s="191"/>
      <c r="BC374" s="191"/>
      <c r="BD374" s="191"/>
      <c r="BE374" s="191"/>
      <c r="BF374" s="191"/>
      <c r="BG374" s="191"/>
      <c r="BH374" s="191"/>
      <c r="BI374" s="191"/>
      <c r="BJ374" s="191"/>
      <c r="BK374" s="191"/>
      <c r="BL374" s="191"/>
      <c r="BM374" s="191"/>
      <c r="BN374" s="191"/>
      <c r="BO374" s="191"/>
    </row>
    <row r="460" spans="34:58" x14ac:dyDescent="0.3">
      <c r="AH460" s="39"/>
      <c r="AI460" s="39"/>
      <c r="AJ460" s="39"/>
      <c r="AK460" s="39"/>
      <c r="AL460" s="39"/>
      <c r="AM460" s="39"/>
      <c r="AN460" s="39"/>
      <c r="AO460" s="39"/>
      <c r="AP460" s="39"/>
      <c r="AQ460" s="39"/>
      <c r="AR460" s="39"/>
      <c r="AS460" s="39"/>
      <c r="AT460" s="39"/>
      <c r="AU460" s="39"/>
      <c r="AV460" s="39"/>
      <c r="AW460" s="39"/>
      <c r="AX460" s="39"/>
      <c r="AY460" s="39"/>
      <c r="AZ460" s="39"/>
      <c r="BA460" s="39"/>
      <c r="BB460" s="39"/>
      <c r="BC460" s="39"/>
      <c r="BD460" s="39"/>
      <c r="BE460" s="39"/>
      <c r="BF460" s="39"/>
    </row>
  </sheetData>
  <sheetProtection password="996F" sheet="1" objects="1" selectLockedCells="1"/>
  <mergeCells count="46">
    <mergeCell ref="O65:P65"/>
    <mergeCell ref="V65:AB67"/>
    <mergeCell ref="V68:Y69"/>
    <mergeCell ref="AA68:AB68"/>
    <mergeCell ref="AA69:AB69"/>
    <mergeCell ref="R62:S62"/>
    <mergeCell ref="T62:U62"/>
    <mergeCell ref="V62:W62"/>
    <mergeCell ref="X62:Y62"/>
    <mergeCell ref="M63:P63"/>
    <mergeCell ref="R63:U64"/>
    <mergeCell ref="V63:AB64"/>
    <mergeCell ref="G60:L60"/>
    <mergeCell ref="M61:P61"/>
    <mergeCell ref="R61:S61"/>
    <mergeCell ref="T61:U61"/>
    <mergeCell ref="V61:W61"/>
    <mergeCell ref="X61:Y61"/>
    <mergeCell ref="E42:F42"/>
    <mergeCell ref="X48:AB49"/>
    <mergeCell ref="R50:AB51"/>
    <mergeCell ref="R53:AB54"/>
    <mergeCell ref="R55:AB56"/>
    <mergeCell ref="M59:P59"/>
    <mergeCell ref="C22:C27"/>
    <mergeCell ref="H27:H29"/>
    <mergeCell ref="F31:G31"/>
    <mergeCell ref="Q31:Q32"/>
    <mergeCell ref="Y32:AA33"/>
    <mergeCell ref="B39:B40"/>
    <mergeCell ref="S13:S15"/>
    <mergeCell ref="T15:T17"/>
    <mergeCell ref="B16:B20"/>
    <mergeCell ref="C16:C18"/>
    <mergeCell ref="H18:I19"/>
    <mergeCell ref="T18:T20"/>
    <mergeCell ref="C20:C21"/>
    <mergeCell ref="J21:N21"/>
    <mergeCell ref="T21:T22"/>
    <mergeCell ref="B22:B25"/>
    <mergeCell ref="Q2:AB3"/>
    <mergeCell ref="X4:AB4"/>
    <mergeCell ref="K7:M7"/>
    <mergeCell ref="R7:S7"/>
    <mergeCell ref="K9:M9"/>
    <mergeCell ref="D12:F12"/>
  </mergeCells>
  <conditionalFormatting sqref="R7:S7">
    <cfRule type="expression" dxfId="0" priority="1" stopIfTrue="1">
      <formula>AND(OR($K$7=$AG$102,K7=""))</formula>
    </cfRule>
  </conditionalFormatting>
  <dataValidations count="6">
    <dataValidation type="list" allowBlank="1" showInputMessage="1" showErrorMessage="1" sqref="E5">
      <formula1>$AD$3:$AD$11</formula1>
    </dataValidation>
    <dataValidation type="list" allowBlank="1" showInputMessage="1" showErrorMessage="1" sqref="R7:S7">
      <formula1>$AG$107:$AG$108</formula1>
    </dataValidation>
    <dataValidation type="list" allowBlank="1" showInputMessage="1" showErrorMessage="1" sqref="K7">
      <formula1>$AG$102:$AG$104</formula1>
    </dataValidation>
    <dataValidation type="custom" showInputMessage="1" showErrorMessage="1" error="H max 5000 mm_x000a__x000a_W x H max 23 m2" sqref="K5">
      <formula1>IF(OR(K5&gt;5000,K3/1000*K5/1000&gt;23),FALSE,TRUE)</formula1>
    </dataValidation>
    <dataValidation type="whole" showInputMessage="1" showErrorMessage="1" error="W max 6000 m_x000a_" sqref="K3">
      <formula1>1</formula1>
      <formula2>6000</formula2>
    </dataValidation>
    <dataValidation type="list" allowBlank="1" showInputMessage="1" showErrorMessage="1" sqref="K9">
      <formula1>AG121:AG122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49" orientation="landscape" r:id="rId1"/>
  <colBreaks count="1" manualBreakCount="1">
    <brk id="29" max="65" man="1"/>
  </colBreaks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r:id="rId5">
            <anchor moveWithCells="1">
              <from>
                <xdr:col>29</xdr:col>
                <xdr:colOff>0</xdr:colOff>
                <xdr:row>114</xdr:row>
                <xdr:rowOff>0</xdr:rowOff>
              </from>
              <to>
                <xdr:col>30</xdr:col>
                <xdr:colOff>0</xdr:colOff>
                <xdr:row>114</xdr:row>
                <xdr:rowOff>7620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49"/>
  <sheetViews>
    <sheetView showGridLines="0" zoomScaleNormal="100" workbookViewId="0">
      <selection activeCell="E48" sqref="E48:G49"/>
    </sheetView>
  </sheetViews>
  <sheetFormatPr defaultRowHeight="14.4" x14ac:dyDescent="0.3"/>
  <sheetData>
    <row r="1" spans="1:9" x14ac:dyDescent="0.3">
      <c r="A1" s="192"/>
      <c r="B1" s="9"/>
      <c r="C1" s="9"/>
      <c r="D1" s="9"/>
      <c r="E1" s="9"/>
      <c r="F1" s="9"/>
      <c r="G1" s="9"/>
      <c r="H1" s="9"/>
      <c r="I1" s="193"/>
    </row>
    <row r="2" spans="1:9" x14ac:dyDescent="0.3">
      <c r="A2" s="50"/>
      <c r="B2" s="8"/>
      <c r="C2" s="8"/>
      <c r="D2" s="8"/>
      <c r="E2" s="8"/>
      <c r="F2" s="8"/>
      <c r="G2" s="8"/>
      <c r="H2" s="8"/>
      <c r="I2" s="7"/>
    </row>
    <row r="3" spans="1:9" x14ac:dyDescent="0.3">
      <c r="A3" s="50"/>
      <c r="B3" s="8"/>
      <c r="C3" s="72"/>
      <c r="D3" s="8"/>
      <c r="E3" s="8"/>
      <c r="F3" s="8"/>
      <c r="G3" s="8"/>
      <c r="H3" s="8"/>
      <c r="I3" s="7"/>
    </row>
    <row r="4" spans="1:9" x14ac:dyDescent="0.3">
      <c r="A4" s="50"/>
      <c r="B4" s="194"/>
      <c r="C4" s="8"/>
      <c r="D4" s="8"/>
      <c r="E4" s="8"/>
      <c r="F4" s="8"/>
      <c r="G4" s="8"/>
      <c r="H4" s="8"/>
      <c r="I4" s="7"/>
    </row>
    <row r="5" spans="1:9" x14ac:dyDescent="0.3">
      <c r="A5" s="50"/>
      <c r="B5" s="8"/>
      <c r="C5" s="8"/>
      <c r="D5" s="8"/>
      <c r="E5" s="8"/>
      <c r="F5" s="8"/>
      <c r="G5" s="8"/>
      <c r="H5" s="8"/>
      <c r="I5" s="7"/>
    </row>
    <row r="6" spans="1:9" x14ac:dyDescent="0.3">
      <c r="A6" s="195" t="s">
        <v>796</v>
      </c>
      <c r="B6" s="62" t="str">
        <f>"F="&amp;general!P58</f>
        <v>F=230</v>
      </c>
      <c r="C6" s="8"/>
      <c r="D6" s="8"/>
      <c r="E6" s="8"/>
      <c r="F6" s="8"/>
      <c r="G6" s="8"/>
      <c r="H6" s="8"/>
      <c r="I6" s="7"/>
    </row>
    <row r="7" spans="1:9" x14ac:dyDescent="0.3">
      <c r="A7" s="195"/>
      <c r="B7" s="62"/>
      <c r="C7" s="8"/>
      <c r="D7" s="8"/>
      <c r="E7" s="8"/>
      <c r="F7" s="8"/>
      <c r="G7" s="8"/>
      <c r="H7" s="8"/>
      <c r="I7" s="7"/>
    </row>
    <row r="8" spans="1:9" x14ac:dyDescent="0.3">
      <c r="A8" s="195"/>
      <c r="B8" s="62"/>
      <c r="C8" s="8"/>
      <c r="D8" s="8"/>
      <c r="E8" s="8"/>
      <c r="F8" s="8"/>
      <c r="G8" s="8"/>
      <c r="H8" s="8"/>
      <c r="I8" s="7"/>
    </row>
    <row r="9" spans="1:9" x14ac:dyDescent="0.3">
      <c r="A9" s="195"/>
      <c r="B9" s="8"/>
      <c r="C9" s="8"/>
      <c r="D9" s="8"/>
      <c r="E9" s="8"/>
      <c r="F9" s="8"/>
      <c r="G9" s="8"/>
      <c r="H9" s="8"/>
      <c r="I9" s="7"/>
    </row>
    <row r="10" spans="1:9" x14ac:dyDescent="0.3">
      <c r="A10" s="50"/>
      <c r="B10" s="8"/>
      <c r="C10" s="8"/>
      <c r="D10" s="8"/>
      <c r="E10" s="8"/>
      <c r="F10" s="8"/>
      <c r="G10" s="8"/>
      <c r="H10" s="8"/>
      <c r="I10" s="7"/>
    </row>
    <row r="11" spans="1:9" x14ac:dyDescent="0.3">
      <c r="A11" s="50"/>
      <c r="B11" s="8"/>
      <c r="C11" s="8"/>
      <c r="D11" s="8"/>
      <c r="E11" s="8"/>
      <c r="F11" s="8"/>
      <c r="G11" s="8"/>
      <c r="H11" s="8"/>
      <c r="I11" s="7"/>
    </row>
    <row r="12" spans="1:9" x14ac:dyDescent="0.3">
      <c r="A12" s="50"/>
      <c r="B12" s="8"/>
      <c r="C12" s="8"/>
      <c r="D12" s="8"/>
      <c r="E12" s="8"/>
      <c r="F12" s="8"/>
      <c r="G12" s="8"/>
      <c r="H12" s="8"/>
      <c r="I12" s="7"/>
    </row>
    <row r="13" spans="1:9" x14ac:dyDescent="0.3">
      <c r="A13" s="50"/>
      <c r="B13" s="8"/>
      <c r="C13" s="8"/>
      <c r="D13" s="8"/>
      <c r="E13" s="8"/>
      <c r="F13" s="8"/>
      <c r="G13" s="8"/>
      <c r="H13" s="8"/>
      <c r="I13" s="7"/>
    </row>
    <row r="14" spans="1:9" x14ac:dyDescent="0.3">
      <c r="A14" s="50"/>
      <c r="B14" s="8"/>
      <c r="C14" s="8"/>
      <c r="D14" s="8"/>
      <c r="E14" s="8"/>
      <c r="F14" s="8"/>
      <c r="G14" s="8"/>
      <c r="H14" s="8"/>
      <c r="I14" s="7"/>
    </row>
    <row r="15" spans="1:9" x14ac:dyDescent="0.3">
      <c r="A15" s="196"/>
      <c r="B15" s="68" t="str">
        <f>"H="&amp;general!K5</f>
        <v>H=</v>
      </c>
      <c r="C15" s="8"/>
      <c r="D15" s="8"/>
      <c r="E15" s="8"/>
      <c r="F15" s="8"/>
      <c r="G15" s="8"/>
      <c r="H15" s="8"/>
      <c r="I15" s="7"/>
    </row>
    <row r="16" spans="1:9" x14ac:dyDescent="0.3">
      <c r="A16" s="196"/>
      <c r="B16" s="68"/>
      <c r="C16" s="8"/>
      <c r="D16" s="8"/>
      <c r="E16" s="8"/>
      <c r="F16" s="8"/>
      <c r="G16" s="8"/>
      <c r="H16" s="8"/>
      <c r="I16" s="7"/>
    </row>
    <row r="17" spans="1:9" x14ac:dyDescent="0.3">
      <c r="A17" s="196"/>
      <c r="B17" s="68"/>
      <c r="C17" s="8"/>
      <c r="D17" s="8"/>
      <c r="E17" s="8"/>
      <c r="F17" s="8"/>
      <c r="G17" s="8"/>
      <c r="H17" s="8"/>
      <c r="I17" s="7"/>
    </row>
    <row r="18" spans="1:9" x14ac:dyDescent="0.3">
      <c r="A18" s="196"/>
      <c r="B18" s="68"/>
      <c r="C18" s="8"/>
      <c r="D18" s="8"/>
      <c r="E18" s="8"/>
      <c r="F18" s="8"/>
      <c r="G18" s="8"/>
      <c r="H18" s="8"/>
      <c r="I18" s="7"/>
    </row>
    <row r="19" spans="1:9" x14ac:dyDescent="0.3">
      <c r="A19" s="50"/>
      <c r="B19" s="8"/>
      <c r="C19" s="8"/>
      <c r="D19" s="8"/>
      <c r="E19" s="8"/>
      <c r="F19" s="8"/>
      <c r="G19" s="8"/>
      <c r="H19" s="8"/>
      <c r="I19" s="7"/>
    </row>
    <row r="20" spans="1:9" x14ac:dyDescent="0.3">
      <c r="A20" s="50"/>
      <c r="B20" s="8"/>
      <c r="C20" s="8"/>
      <c r="D20" s="8"/>
      <c r="E20" s="8"/>
      <c r="F20" s="8"/>
      <c r="G20" s="8"/>
      <c r="H20" s="8"/>
      <c r="I20" s="7"/>
    </row>
    <row r="21" spans="1:9" x14ac:dyDescent="0.3">
      <c r="A21" s="50"/>
      <c r="B21" s="8"/>
      <c r="C21" s="8"/>
      <c r="D21" s="8"/>
      <c r="E21" s="8"/>
      <c r="F21" s="8"/>
      <c r="G21" s="8"/>
      <c r="H21" s="8"/>
      <c r="I21" s="7"/>
    </row>
    <row r="22" spans="1:9" x14ac:dyDescent="0.3">
      <c r="A22" s="50"/>
      <c r="B22" s="8"/>
      <c r="C22" s="8"/>
      <c r="D22" s="8"/>
      <c r="E22" s="8"/>
      <c r="F22" s="8"/>
      <c r="G22" s="8"/>
      <c r="H22" s="8"/>
      <c r="I22" s="7"/>
    </row>
    <row r="23" spans="1:9" x14ac:dyDescent="0.3">
      <c r="A23" s="50"/>
      <c r="B23" s="8"/>
      <c r="C23" s="8"/>
      <c r="D23" s="8"/>
      <c r="E23" s="8"/>
      <c r="F23" s="8"/>
      <c r="G23" s="8"/>
      <c r="H23" s="8"/>
      <c r="I23" s="7"/>
    </row>
    <row r="24" spans="1:9" x14ac:dyDescent="0.3">
      <c r="A24" s="50"/>
      <c r="B24" s="8"/>
      <c r="C24" s="8"/>
      <c r="D24" s="8"/>
      <c r="E24" s="8"/>
      <c r="F24" s="8"/>
      <c r="G24" s="8"/>
      <c r="H24" s="8"/>
      <c r="I24" s="7"/>
    </row>
    <row r="25" spans="1:9" x14ac:dyDescent="0.3">
      <c r="A25" s="50"/>
      <c r="B25" s="8"/>
      <c r="C25" s="8"/>
      <c r="D25" s="8"/>
      <c r="E25" s="8"/>
      <c r="F25" s="8"/>
      <c r="G25" s="8"/>
      <c r="H25" s="8"/>
      <c r="I25" s="7"/>
    </row>
    <row r="26" spans="1:9" x14ac:dyDescent="0.3">
      <c r="A26" s="50"/>
      <c r="B26" s="8"/>
      <c r="C26" s="8"/>
      <c r="D26" s="8"/>
      <c r="E26" s="8"/>
      <c r="F26" s="8"/>
      <c r="G26" s="8"/>
      <c r="H26" s="8"/>
      <c r="I26" s="7"/>
    </row>
    <row r="27" spans="1:9" x14ac:dyDescent="0.3">
      <c r="A27" s="50"/>
      <c r="B27" s="8"/>
      <c r="C27" s="8"/>
      <c r="D27" s="72"/>
      <c r="E27" s="8"/>
      <c r="F27" s="88">
        <f>general!K3</f>
        <v>0</v>
      </c>
      <c r="G27" s="72"/>
      <c r="H27" s="8"/>
      <c r="I27" s="7"/>
    </row>
    <row r="28" spans="1:9" x14ac:dyDescent="0.3">
      <c r="A28" s="50"/>
      <c r="B28" s="8"/>
      <c r="C28" s="8"/>
      <c r="D28" s="8"/>
      <c r="E28" s="8"/>
      <c r="F28" s="72"/>
      <c r="G28" s="8"/>
      <c r="H28" s="8"/>
      <c r="I28" s="7"/>
    </row>
    <row r="29" spans="1:9" x14ac:dyDescent="0.3">
      <c r="A29" s="50"/>
      <c r="B29" s="8"/>
      <c r="C29" s="8"/>
      <c r="D29" s="8"/>
      <c r="E29" s="8"/>
      <c r="F29" s="72"/>
      <c r="G29" s="8"/>
      <c r="H29" s="8"/>
      <c r="I29" s="7"/>
    </row>
    <row r="30" spans="1:9" x14ac:dyDescent="0.3">
      <c r="A30" s="50"/>
      <c r="B30" s="8"/>
      <c r="C30" s="8"/>
      <c r="D30" s="8"/>
      <c r="E30" s="8"/>
      <c r="F30" s="8"/>
      <c r="G30" s="8"/>
      <c r="H30" s="8"/>
      <c r="I30" s="7"/>
    </row>
    <row r="31" spans="1:9" x14ac:dyDescent="0.3">
      <c r="A31" s="50"/>
      <c r="B31" s="8"/>
      <c r="C31" s="8"/>
      <c r="D31" s="8"/>
      <c r="E31" s="8"/>
      <c r="F31" s="8"/>
      <c r="G31" s="8"/>
      <c r="H31" s="8"/>
      <c r="I31" s="7"/>
    </row>
    <row r="32" spans="1:9" x14ac:dyDescent="0.3">
      <c r="A32" s="50"/>
      <c r="B32" s="8"/>
      <c r="C32" s="8"/>
      <c r="D32" s="8"/>
      <c r="E32" s="8"/>
      <c r="F32" s="8"/>
      <c r="G32" s="8"/>
      <c r="H32" s="8"/>
      <c r="I32" s="7"/>
    </row>
    <row r="33" spans="1:9" x14ac:dyDescent="0.3">
      <c r="A33" s="50"/>
      <c r="B33" s="8"/>
      <c r="C33" s="8"/>
      <c r="D33" s="8"/>
      <c r="E33" s="8"/>
      <c r="F33" s="8"/>
      <c r="G33" s="8"/>
      <c r="H33" s="8"/>
      <c r="I33" s="7"/>
    </row>
    <row r="34" spans="1:9" x14ac:dyDescent="0.3">
      <c r="A34" s="50"/>
      <c r="B34" s="8"/>
      <c r="C34" s="8"/>
      <c r="D34" s="8"/>
      <c r="E34" s="8"/>
      <c r="F34" s="8"/>
      <c r="G34" s="8"/>
      <c r="H34" s="8"/>
      <c r="I34" s="7"/>
    </row>
    <row r="35" spans="1:9" x14ac:dyDescent="0.3">
      <c r="A35" s="50"/>
      <c r="B35" s="8"/>
      <c r="C35" s="8"/>
      <c r="D35" s="8"/>
      <c r="E35" s="8"/>
      <c r="F35" s="8"/>
      <c r="G35" s="8"/>
      <c r="H35" s="8"/>
      <c r="I35" s="7"/>
    </row>
    <row r="36" spans="1:9" x14ac:dyDescent="0.3">
      <c r="A36" s="50"/>
      <c r="B36" s="8"/>
      <c r="C36" s="8"/>
      <c r="D36" s="8"/>
      <c r="E36" s="8"/>
      <c r="F36" s="8"/>
      <c r="G36" s="8"/>
      <c r="H36" s="8"/>
      <c r="I36" s="7"/>
    </row>
    <row r="37" spans="1:9" x14ac:dyDescent="0.3">
      <c r="A37" s="50"/>
      <c r="B37" s="8"/>
      <c r="C37" s="8"/>
      <c r="D37" s="8"/>
      <c r="E37" s="8"/>
      <c r="F37" s="8"/>
      <c r="G37" s="8"/>
      <c r="H37" s="8"/>
      <c r="I37" s="7"/>
    </row>
    <row r="38" spans="1:9" x14ac:dyDescent="0.3">
      <c r="A38" s="50"/>
      <c r="B38" s="8"/>
      <c r="C38" s="8"/>
      <c r="D38" s="8"/>
      <c r="E38" s="8"/>
      <c r="F38" s="8"/>
      <c r="G38" s="8"/>
      <c r="H38" s="8"/>
      <c r="I38" s="7"/>
    </row>
    <row r="39" spans="1:9" ht="15" thickBot="1" x14ac:dyDescent="0.35">
      <c r="A39" s="50"/>
      <c r="B39" s="8"/>
      <c r="C39" s="8"/>
      <c r="D39" s="8"/>
      <c r="E39" s="8"/>
      <c r="F39" s="8"/>
      <c r="G39" s="8"/>
      <c r="H39" s="8"/>
      <c r="I39" s="7"/>
    </row>
    <row r="40" spans="1:9" x14ac:dyDescent="0.3">
      <c r="A40" s="50"/>
      <c r="B40" s="8"/>
      <c r="C40" s="197" t="str">
        <f>general!Q2</f>
        <v>VEDENÍ PRO NÍZKÝ PŘEKLAD (LL-CE)</v>
      </c>
      <c r="D40" s="198"/>
      <c r="E40" s="198"/>
      <c r="F40" s="198"/>
      <c r="G40" s="198"/>
      <c r="H40" s="198"/>
      <c r="I40" s="199"/>
    </row>
    <row r="41" spans="1:9" ht="15" thickBot="1" x14ac:dyDescent="0.35">
      <c r="A41" s="50"/>
      <c r="B41" s="8"/>
      <c r="C41" s="200"/>
      <c r="D41" s="201"/>
      <c r="E41" s="201"/>
      <c r="F41" s="201"/>
      <c r="G41" s="201"/>
      <c r="H41" s="201"/>
      <c r="I41" s="202"/>
    </row>
    <row r="42" spans="1:9" ht="15" thickBot="1" x14ac:dyDescent="0.35">
      <c r="A42" s="50"/>
      <c r="B42" s="8"/>
      <c r="C42" s="203" t="str">
        <f>general!$AG$106</f>
        <v>Umístění motoru</v>
      </c>
      <c r="D42" s="204"/>
      <c r="E42" s="197" t="str">
        <f>general!$AG$108</f>
        <v>Na pravé straně</v>
      </c>
      <c r="F42" s="198"/>
      <c r="G42" s="199"/>
      <c r="H42" s="205"/>
      <c r="I42" s="205"/>
    </row>
    <row r="43" spans="1:9" ht="15" thickBot="1" x14ac:dyDescent="0.35">
      <c r="A43" s="50"/>
      <c r="B43" s="8"/>
      <c r="C43" s="206"/>
      <c r="D43" s="207"/>
      <c r="E43" s="200"/>
      <c r="F43" s="201"/>
      <c r="G43" s="202"/>
      <c r="H43" s="205"/>
      <c r="I43" s="205"/>
    </row>
    <row r="44" spans="1:9" ht="15" thickBot="1" x14ac:dyDescent="0.35">
      <c r="A44" s="50"/>
      <c r="B44" s="8"/>
      <c r="C44" s="203" t="str">
        <f>general!$R$61</f>
        <v>Sestavil:</v>
      </c>
      <c r="D44" s="204"/>
      <c r="E44" s="208"/>
      <c r="F44" s="208"/>
      <c r="G44" s="208"/>
      <c r="H44" s="205"/>
      <c r="I44" s="205"/>
    </row>
    <row r="45" spans="1:9" ht="15" thickBot="1" x14ac:dyDescent="0.35">
      <c r="A45" s="50"/>
      <c r="B45" s="8"/>
      <c r="C45" s="206"/>
      <c r="D45" s="207"/>
      <c r="E45" s="208"/>
      <c r="F45" s="208"/>
      <c r="G45" s="208"/>
      <c r="H45" s="205"/>
      <c r="I45" s="205"/>
    </row>
    <row r="46" spans="1:9" ht="15" thickBot="1" x14ac:dyDescent="0.35">
      <c r="A46" s="50"/>
      <c r="B46" s="8"/>
      <c r="C46" s="203" t="str">
        <f>general!$T$61</f>
        <v>Upravil:</v>
      </c>
      <c r="D46" s="204"/>
      <c r="E46" s="208"/>
      <c r="F46" s="208"/>
      <c r="G46" s="208"/>
      <c r="H46" s="205"/>
      <c r="I46" s="205"/>
    </row>
    <row r="47" spans="1:9" ht="15" thickBot="1" x14ac:dyDescent="0.35">
      <c r="A47" s="50"/>
      <c r="B47" s="8"/>
      <c r="C47" s="206"/>
      <c r="D47" s="207"/>
      <c r="E47" s="208"/>
      <c r="F47" s="208"/>
      <c r="G47" s="208"/>
      <c r="H47" s="205"/>
      <c r="I47" s="205"/>
    </row>
    <row r="48" spans="1:9" ht="15" thickBot="1" x14ac:dyDescent="0.35">
      <c r="A48" s="50"/>
      <c r="B48" s="8"/>
      <c r="C48" s="203" t="str">
        <f>general!$Z$61</f>
        <v>Datum:</v>
      </c>
      <c r="D48" s="204"/>
      <c r="E48" s="209"/>
      <c r="F48" s="209"/>
      <c r="G48" s="209"/>
      <c r="H48" s="205"/>
      <c r="I48" s="205"/>
    </row>
    <row r="49" spans="1:9" ht="15" thickBot="1" x14ac:dyDescent="0.35">
      <c r="A49" s="181"/>
      <c r="B49" s="1"/>
      <c r="C49" s="206"/>
      <c r="D49" s="207"/>
      <c r="E49" s="209"/>
      <c r="F49" s="209"/>
      <c r="G49" s="209"/>
      <c r="H49" s="205"/>
      <c r="I49" s="205"/>
    </row>
  </sheetData>
  <sheetProtection password="996F" sheet="1" objects="1" selectLockedCells="1"/>
  <mergeCells count="12">
    <mergeCell ref="C48:D49"/>
    <mergeCell ref="E48:G49"/>
    <mergeCell ref="B6:B8"/>
    <mergeCell ref="B15:B18"/>
    <mergeCell ref="C40:I41"/>
    <mergeCell ref="C42:D43"/>
    <mergeCell ref="E42:G43"/>
    <mergeCell ref="H42:I49"/>
    <mergeCell ref="C44:D45"/>
    <mergeCell ref="E44:G45"/>
    <mergeCell ref="C46:D47"/>
    <mergeCell ref="E46:G47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I49"/>
  <sheetViews>
    <sheetView showGridLines="0" zoomScaleNormal="100" workbookViewId="0">
      <selection activeCell="H42" sqref="H42:I49"/>
    </sheetView>
  </sheetViews>
  <sheetFormatPr defaultRowHeight="14.4" x14ac:dyDescent="0.3"/>
  <sheetData>
    <row r="1" spans="1:9" x14ac:dyDescent="0.3">
      <c r="A1" s="192"/>
      <c r="B1" s="9"/>
      <c r="C1" s="9"/>
      <c r="D1" s="9"/>
      <c r="E1" s="9"/>
      <c r="F1" s="9"/>
      <c r="G1" s="9"/>
      <c r="H1" s="9"/>
      <c r="I1" s="193"/>
    </row>
    <row r="2" spans="1:9" x14ac:dyDescent="0.3">
      <c r="A2" s="50"/>
      <c r="B2" s="8"/>
      <c r="C2" s="8"/>
      <c r="D2" s="8"/>
      <c r="E2" s="8"/>
      <c r="F2" s="8"/>
      <c r="G2" s="8"/>
      <c r="H2" s="8"/>
      <c r="I2" s="7"/>
    </row>
    <row r="3" spans="1:9" x14ac:dyDescent="0.3">
      <c r="A3" s="210"/>
      <c r="B3" s="66"/>
      <c r="C3" s="88"/>
      <c r="D3" s="66"/>
      <c r="E3" s="66"/>
      <c r="F3" s="66"/>
      <c r="G3" s="66"/>
      <c r="H3" s="66"/>
      <c r="I3" s="211"/>
    </row>
    <row r="4" spans="1:9" x14ac:dyDescent="0.3">
      <c r="A4" s="210"/>
      <c r="B4" s="86"/>
      <c r="C4" s="66"/>
      <c r="D4" s="66"/>
      <c r="E4" s="66"/>
      <c r="F4" s="66"/>
      <c r="G4" s="66"/>
      <c r="H4" s="66"/>
      <c r="I4" s="211"/>
    </row>
    <row r="5" spans="1:9" x14ac:dyDescent="0.3">
      <c r="A5" s="210"/>
      <c r="B5" s="66"/>
      <c r="C5" s="66"/>
      <c r="D5" s="66"/>
      <c r="E5" s="66"/>
      <c r="F5" s="66"/>
      <c r="G5" s="66"/>
      <c r="H5" s="66"/>
      <c r="I5" s="211"/>
    </row>
    <row r="6" spans="1:9" x14ac:dyDescent="0.3">
      <c r="A6" s="212" t="s">
        <v>796</v>
      </c>
      <c r="B6" s="68" t="str">
        <f>"F="&amp;general!P58</f>
        <v>F=230</v>
      </c>
      <c r="C6" s="66"/>
      <c r="D6" s="66"/>
      <c r="E6" s="66"/>
      <c r="F6" s="66"/>
      <c r="G6" s="66"/>
      <c r="H6" s="66"/>
      <c r="I6" s="211"/>
    </row>
    <row r="7" spans="1:9" x14ac:dyDescent="0.3">
      <c r="A7" s="212"/>
      <c r="B7" s="68"/>
      <c r="C7" s="66"/>
      <c r="D7" s="66"/>
      <c r="E7" s="66"/>
      <c r="F7" s="66"/>
      <c r="G7" s="66"/>
      <c r="H7" s="66"/>
      <c r="I7" s="211"/>
    </row>
    <row r="8" spans="1:9" x14ac:dyDescent="0.3">
      <c r="A8" s="212"/>
      <c r="B8" s="68"/>
      <c r="C8" s="66"/>
      <c r="D8" s="66"/>
      <c r="E8" s="66"/>
      <c r="F8" s="66"/>
      <c r="G8" s="66"/>
      <c r="H8" s="66"/>
      <c r="I8" s="211"/>
    </row>
    <row r="9" spans="1:9" x14ac:dyDescent="0.3">
      <c r="A9" s="212"/>
      <c r="B9" s="66"/>
      <c r="C9" s="66"/>
      <c r="D9" s="66"/>
      <c r="E9" s="66"/>
      <c r="F9" s="66"/>
      <c r="G9" s="66"/>
      <c r="H9" s="66"/>
      <c r="I9" s="211"/>
    </row>
    <row r="10" spans="1:9" x14ac:dyDescent="0.3">
      <c r="A10" s="210"/>
      <c r="B10" s="66"/>
      <c r="C10" s="66"/>
      <c r="D10" s="66"/>
      <c r="E10" s="66"/>
      <c r="F10" s="66"/>
      <c r="G10" s="66"/>
      <c r="H10" s="66"/>
      <c r="I10" s="211"/>
    </row>
    <row r="11" spans="1:9" x14ac:dyDescent="0.3">
      <c r="A11" s="210"/>
      <c r="B11" s="66"/>
      <c r="C11" s="66"/>
      <c r="D11" s="66"/>
      <c r="E11" s="66"/>
      <c r="F11" s="66"/>
      <c r="G11" s="66"/>
      <c r="H11" s="66"/>
      <c r="I11" s="211"/>
    </row>
    <row r="12" spans="1:9" x14ac:dyDescent="0.3">
      <c r="A12" s="210"/>
      <c r="B12" s="66"/>
      <c r="C12" s="66"/>
      <c r="D12" s="66"/>
      <c r="E12" s="66"/>
      <c r="F12" s="66"/>
      <c r="G12" s="66"/>
      <c r="H12" s="66"/>
      <c r="I12" s="211"/>
    </row>
    <row r="13" spans="1:9" x14ac:dyDescent="0.3">
      <c r="A13" s="210"/>
      <c r="B13" s="66"/>
      <c r="C13" s="66"/>
      <c r="D13" s="66"/>
      <c r="E13" s="66"/>
      <c r="F13" s="66"/>
      <c r="G13" s="66"/>
      <c r="H13" s="66"/>
      <c r="I13" s="211"/>
    </row>
    <row r="14" spans="1:9" x14ac:dyDescent="0.3">
      <c r="A14" s="210"/>
      <c r="B14" s="66"/>
      <c r="C14" s="66"/>
      <c r="D14" s="66"/>
      <c r="E14" s="66"/>
      <c r="F14" s="66"/>
      <c r="G14" s="66"/>
      <c r="H14" s="66"/>
      <c r="I14" s="211"/>
    </row>
    <row r="15" spans="1:9" x14ac:dyDescent="0.3">
      <c r="A15" s="213"/>
      <c r="B15" s="68" t="str">
        <f>"H="&amp;general!K5</f>
        <v>H=</v>
      </c>
      <c r="C15" s="66"/>
      <c r="D15" s="66"/>
      <c r="E15" s="66"/>
      <c r="F15" s="66"/>
      <c r="G15" s="66"/>
      <c r="H15" s="66"/>
      <c r="I15" s="211"/>
    </row>
    <row r="16" spans="1:9" x14ac:dyDescent="0.3">
      <c r="A16" s="213"/>
      <c r="B16" s="68"/>
      <c r="C16" s="66"/>
      <c r="D16" s="66"/>
      <c r="E16" s="66"/>
      <c r="F16" s="66"/>
      <c r="G16" s="66"/>
      <c r="H16" s="66"/>
      <c r="I16" s="211"/>
    </row>
    <row r="17" spans="1:9" x14ac:dyDescent="0.3">
      <c r="A17" s="213"/>
      <c r="B17" s="68"/>
      <c r="C17" s="66"/>
      <c r="D17" s="66"/>
      <c r="E17" s="66"/>
      <c r="F17" s="66"/>
      <c r="G17" s="66"/>
      <c r="H17" s="66"/>
      <c r="I17" s="211"/>
    </row>
    <row r="18" spans="1:9" x14ac:dyDescent="0.3">
      <c r="A18" s="213"/>
      <c r="B18" s="68"/>
      <c r="C18" s="66"/>
      <c r="D18" s="66"/>
      <c r="E18" s="66"/>
      <c r="F18" s="66"/>
      <c r="G18" s="66"/>
      <c r="H18" s="66"/>
      <c r="I18" s="211"/>
    </row>
    <row r="19" spans="1:9" x14ac:dyDescent="0.3">
      <c r="A19" s="210"/>
      <c r="B19" s="66"/>
      <c r="C19" s="66"/>
      <c r="D19" s="66"/>
      <c r="E19" s="66"/>
      <c r="F19" s="66"/>
      <c r="G19" s="66"/>
      <c r="H19" s="66"/>
      <c r="I19" s="211"/>
    </row>
    <row r="20" spans="1:9" x14ac:dyDescent="0.3">
      <c r="A20" s="210"/>
      <c r="B20" s="66"/>
      <c r="C20" s="66"/>
      <c r="D20" s="66"/>
      <c r="E20" s="66"/>
      <c r="F20" s="66"/>
      <c r="G20" s="66"/>
      <c r="H20" s="66"/>
      <c r="I20" s="211"/>
    </row>
    <row r="21" spans="1:9" x14ac:dyDescent="0.3">
      <c r="A21" s="210"/>
      <c r="B21" s="66"/>
      <c r="C21" s="66"/>
      <c r="D21" s="66"/>
      <c r="E21" s="66"/>
      <c r="F21" s="66"/>
      <c r="G21" s="66"/>
      <c r="H21" s="66"/>
      <c r="I21" s="211"/>
    </row>
    <row r="22" spans="1:9" x14ac:dyDescent="0.3">
      <c r="A22" s="210"/>
      <c r="B22" s="66"/>
      <c r="C22" s="66"/>
      <c r="D22" s="66"/>
      <c r="E22" s="66"/>
      <c r="F22" s="66"/>
      <c r="G22" s="66"/>
      <c r="H22" s="66"/>
      <c r="I22" s="211"/>
    </row>
    <row r="23" spans="1:9" x14ac:dyDescent="0.3">
      <c r="A23" s="210"/>
      <c r="B23" s="66"/>
      <c r="C23" s="66"/>
      <c r="D23" s="66"/>
      <c r="E23" s="66"/>
      <c r="F23" s="66"/>
      <c r="G23" s="66"/>
      <c r="H23" s="66"/>
      <c r="I23" s="211"/>
    </row>
    <row r="24" spans="1:9" x14ac:dyDescent="0.3">
      <c r="A24" s="210"/>
      <c r="B24" s="66"/>
      <c r="C24" s="66"/>
      <c r="D24" s="66"/>
      <c r="E24" s="66"/>
      <c r="F24" s="66"/>
      <c r="G24" s="66"/>
      <c r="H24" s="66"/>
      <c r="I24" s="211"/>
    </row>
    <row r="25" spans="1:9" x14ac:dyDescent="0.3">
      <c r="A25" s="210"/>
      <c r="B25" s="66"/>
      <c r="C25" s="66"/>
      <c r="D25" s="66"/>
      <c r="E25" s="66"/>
      <c r="F25" s="66"/>
      <c r="G25" s="66"/>
      <c r="H25" s="66"/>
      <c r="I25" s="211"/>
    </row>
    <row r="26" spans="1:9" x14ac:dyDescent="0.3">
      <c r="A26" s="210"/>
      <c r="B26" s="66"/>
      <c r="C26" s="66"/>
      <c r="D26" s="66"/>
      <c r="E26" s="66"/>
      <c r="F26" s="66"/>
      <c r="G26" s="66"/>
      <c r="H26" s="66"/>
      <c r="I26" s="211"/>
    </row>
    <row r="27" spans="1:9" x14ac:dyDescent="0.3">
      <c r="A27" s="210"/>
      <c r="B27" s="66"/>
      <c r="C27" s="66"/>
      <c r="D27" s="88"/>
      <c r="E27" s="66"/>
      <c r="F27" s="88">
        <f>general!K3</f>
        <v>0</v>
      </c>
      <c r="G27" s="88"/>
      <c r="H27" s="66"/>
      <c r="I27" s="211"/>
    </row>
    <row r="28" spans="1:9" x14ac:dyDescent="0.3">
      <c r="A28" s="210"/>
      <c r="B28" s="66"/>
      <c r="C28" s="66"/>
      <c r="D28" s="66"/>
      <c r="E28" s="66"/>
      <c r="F28" s="88"/>
      <c r="G28" s="66"/>
      <c r="H28" s="66"/>
      <c r="I28" s="211"/>
    </row>
    <row r="29" spans="1:9" x14ac:dyDescent="0.3">
      <c r="A29" s="210"/>
      <c r="B29" s="66"/>
      <c r="C29" s="66"/>
      <c r="D29" s="66"/>
      <c r="E29" s="66"/>
      <c r="F29" s="88"/>
      <c r="G29" s="66"/>
      <c r="H29" s="66"/>
      <c r="I29" s="211"/>
    </row>
    <row r="30" spans="1:9" x14ac:dyDescent="0.3">
      <c r="A30" s="210"/>
      <c r="B30" s="66"/>
      <c r="C30" s="66"/>
      <c r="D30" s="66"/>
      <c r="E30" s="66"/>
      <c r="F30" s="66"/>
      <c r="G30" s="66"/>
      <c r="H30" s="66"/>
      <c r="I30" s="211"/>
    </row>
    <row r="31" spans="1:9" x14ac:dyDescent="0.3">
      <c r="A31" s="50"/>
      <c r="B31" s="8"/>
      <c r="C31" s="8"/>
      <c r="D31" s="8"/>
      <c r="E31" s="8"/>
      <c r="F31" s="8"/>
      <c r="G31" s="8"/>
      <c r="H31" s="8"/>
      <c r="I31" s="7"/>
    </row>
    <row r="32" spans="1:9" x14ac:dyDescent="0.3">
      <c r="A32" s="50"/>
      <c r="B32" s="8"/>
      <c r="C32" s="8"/>
      <c r="D32" s="8"/>
      <c r="E32" s="8"/>
      <c r="F32" s="8"/>
      <c r="G32" s="8"/>
      <c r="H32" s="8"/>
      <c r="I32" s="7"/>
    </row>
    <row r="33" spans="1:9" x14ac:dyDescent="0.3">
      <c r="A33" s="50"/>
      <c r="B33" s="8"/>
      <c r="C33" s="8"/>
      <c r="D33" s="8"/>
      <c r="E33" s="8"/>
      <c r="F33" s="8"/>
      <c r="G33" s="8"/>
      <c r="H33" s="8"/>
      <c r="I33" s="7"/>
    </row>
    <row r="34" spans="1:9" x14ac:dyDescent="0.3">
      <c r="A34" s="50"/>
      <c r="B34" s="8"/>
      <c r="C34" s="8"/>
      <c r="D34" s="8"/>
      <c r="E34" s="8"/>
      <c r="F34" s="8"/>
      <c r="G34" s="8"/>
      <c r="H34" s="8"/>
      <c r="I34" s="7"/>
    </row>
    <row r="35" spans="1:9" x14ac:dyDescent="0.3">
      <c r="A35" s="50"/>
      <c r="B35" s="8"/>
      <c r="C35" s="8"/>
      <c r="D35" s="8"/>
      <c r="E35" s="8"/>
      <c r="F35" s="8"/>
      <c r="G35" s="8"/>
      <c r="H35" s="8"/>
      <c r="I35" s="7"/>
    </row>
    <row r="36" spans="1:9" x14ac:dyDescent="0.3">
      <c r="A36" s="50"/>
      <c r="B36" s="8"/>
      <c r="C36" s="8"/>
      <c r="D36" s="8"/>
      <c r="E36" s="8"/>
      <c r="F36" s="8"/>
      <c r="G36" s="8"/>
      <c r="H36" s="8"/>
      <c r="I36" s="7"/>
    </row>
    <row r="37" spans="1:9" x14ac:dyDescent="0.3">
      <c r="A37" s="50"/>
      <c r="B37" s="8"/>
      <c r="C37" s="8"/>
      <c r="D37" s="8"/>
      <c r="E37" s="8"/>
      <c r="F37" s="8"/>
      <c r="G37" s="8"/>
      <c r="H37" s="8"/>
      <c r="I37" s="7"/>
    </row>
    <row r="38" spans="1:9" x14ac:dyDescent="0.3">
      <c r="A38" s="50"/>
      <c r="B38" s="8"/>
      <c r="C38" s="8"/>
      <c r="D38" s="8"/>
      <c r="E38" s="8"/>
      <c r="F38" s="8"/>
      <c r="G38" s="8"/>
      <c r="H38" s="8"/>
      <c r="I38" s="7"/>
    </row>
    <row r="39" spans="1:9" ht="15" thickBot="1" x14ac:dyDescent="0.35">
      <c r="A39" s="50"/>
      <c r="B39" s="8"/>
      <c r="C39" s="8"/>
      <c r="D39" s="8"/>
      <c r="E39" s="8"/>
      <c r="F39" s="8"/>
      <c r="G39" s="8"/>
      <c r="H39" s="8"/>
      <c r="I39" s="7"/>
    </row>
    <row r="40" spans="1:9" x14ac:dyDescent="0.3">
      <c r="A40" s="50"/>
      <c r="B40" s="8"/>
      <c r="C40" s="197" t="str">
        <f>general!Q2</f>
        <v>VEDENÍ PRO NÍZKÝ PŘEKLAD (LL-CE)</v>
      </c>
      <c r="D40" s="198"/>
      <c r="E40" s="198"/>
      <c r="F40" s="198"/>
      <c r="G40" s="198"/>
      <c r="H40" s="198"/>
      <c r="I40" s="199"/>
    </row>
    <row r="41" spans="1:9" ht="15" thickBot="1" x14ac:dyDescent="0.35">
      <c r="A41" s="50"/>
      <c r="B41" s="8"/>
      <c r="C41" s="200"/>
      <c r="D41" s="201"/>
      <c r="E41" s="201"/>
      <c r="F41" s="201"/>
      <c r="G41" s="201"/>
      <c r="H41" s="201"/>
      <c r="I41" s="202"/>
    </row>
    <row r="42" spans="1:9" ht="15" thickBot="1" x14ac:dyDescent="0.35">
      <c r="A42" s="50"/>
      <c r="B42" s="8"/>
      <c r="C42" s="203" t="str">
        <f>general!$AG$106</f>
        <v>Umístění motoru</v>
      </c>
      <c r="D42" s="204"/>
      <c r="E42" s="197" t="str">
        <f>general!$AG$107</f>
        <v>Na levé straně</v>
      </c>
      <c r="F42" s="198"/>
      <c r="G42" s="199"/>
      <c r="H42" s="205"/>
      <c r="I42" s="205"/>
    </row>
    <row r="43" spans="1:9" ht="15" thickBot="1" x14ac:dyDescent="0.35">
      <c r="A43" s="50"/>
      <c r="B43" s="8"/>
      <c r="C43" s="206"/>
      <c r="D43" s="207"/>
      <c r="E43" s="200"/>
      <c r="F43" s="201"/>
      <c r="G43" s="202"/>
      <c r="H43" s="205"/>
      <c r="I43" s="205"/>
    </row>
    <row r="44" spans="1:9" ht="15" thickBot="1" x14ac:dyDescent="0.35">
      <c r="A44" s="50"/>
      <c r="B44" s="8"/>
      <c r="C44" s="203" t="str">
        <f>general!$R$61</f>
        <v>Sestavil:</v>
      </c>
      <c r="D44" s="204"/>
      <c r="E44" s="208"/>
      <c r="F44" s="208"/>
      <c r="G44" s="208"/>
      <c r="H44" s="205"/>
      <c r="I44" s="205"/>
    </row>
    <row r="45" spans="1:9" ht="15" thickBot="1" x14ac:dyDescent="0.35">
      <c r="A45" s="50"/>
      <c r="B45" s="8"/>
      <c r="C45" s="206"/>
      <c r="D45" s="207"/>
      <c r="E45" s="208"/>
      <c r="F45" s="208"/>
      <c r="G45" s="208"/>
      <c r="H45" s="205"/>
      <c r="I45" s="205"/>
    </row>
    <row r="46" spans="1:9" ht="15" thickBot="1" x14ac:dyDescent="0.35">
      <c r="A46" s="50"/>
      <c r="B46" s="8"/>
      <c r="C46" s="203" t="str">
        <f>general!$T$61</f>
        <v>Upravil:</v>
      </c>
      <c r="D46" s="204"/>
      <c r="E46" s="208"/>
      <c r="F46" s="208"/>
      <c r="G46" s="208"/>
      <c r="H46" s="205"/>
      <c r="I46" s="205"/>
    </row>
    <row r="47" spans="1:9" ht="15" thickBot="1" x14ac:dyDescent="0.35">
      <c r="A47" s="50"/>
      <c r="B47" s="8"/>
      <c r="C47" s="206"/>
      <c r="D47" s="207"/>
      <c r="E47" s="208"/>
      <c r="F47" s="208"/>
      <c r="G47" s="208"/>
      <c r="H47" s="205"/>
      <c r="I47" s="205"/>
    </row>
    <row r="48" spans="1:9" ht="15" thickBot="1" x14ac:dyDescent="0.35">
      <c r="A48" s="50"/>
      <c r="B48" s="8"/>
      <c r="C48" s="203" t="str">
        <f>general!$Z$61</f>
        <v>Datum:</v>
      </c>
      <c r="D48" s="204"/>
      <c r="E48" s="209"/>
      <c r="F48" s="209"/>
      <c r="G48" s="209"/>
      <c r="H48" s="205"/>
      <c r="I48" s="205"/>
    </row>
    <row r="49" spans="1:9" ht="15" thickBot="1" x14ac:dyDescent="0.35">
      <c r="A49" s="181"/>
      <c r="B49" s="1"/>
      <c r="C49" s="206"/>
      <c r="D49" s="207"/>
      <c r="E49" s="209"/>
      <c r="F49" s="209"/>
      <c r="G49" s="209"/>
      <c r="H49" s="205"/>
      <c r="I49" s="205"/>
    </row>
  </sheetData>
  <sheetProtection password="996F" sheet="1" selectLockedCells="1"/>
  <mergeCells count="12">
    <mergeCell ref="C48:D49"/>
    <mergeCell ref="E48:G49"/>
    <mergeCell ref="B6:B8"/>
    <mergeCell ref="B15:B18"/>
    <mergeCell ref="C40:I41"/>
    <mergeCell ref="C42:D43"/>
    <mergeCell ref="E42:G43"/>
    <mergeCell ref="H42:I49"/>
    <mergeCell ref="C44:D45"/>
    <mergeCell ref="E44:G45"/>
    <mergeCell ref="C46:D47"/>
    <mergeCell ref="E46:G47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general</vt:lpstr>
      <vt:lpstr>SW-R</vt:lpstr>
      <vt:lpstr>SW-L</vt:lpstr>
      <vt:lpstr>general!Oblast_tisku</vt:lpstr>
    </vt:vector>
  </TitlesOfParts>
  <Company>Loading Systems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Krystof Lunak</dc:creator>
  <cp:lastModifiedBy>Krystof Lunak</cp:lastModifiedBy>
  <dcterms:created xsi:type="dcterms:W3CDTF">2020-11-12T10:31:24Z</dcterms:created>
  <dcterms:modified xsi:type="dcterms:W3CDTF">2020-11-12T10:31:25Z</dcterms:modified>
</cp:coreProperties>
</file>