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35" windowWidth="27795" windowHeight="11325"/>
  </bookViews>
  <sheets>
    <sheet name="general" sheetId="1" r:id="rId1"/>
    <sheet name="SW-R" sheetId="2" r:id="rId2"/>
    <sheet name="SW-L" sheetId="3" r:id="rId3"/>
  </sheets>
  <definedNames>
    <definedName name="_xlnm.Print_Area" localSheetId="0">general!$A$1:$AB$69</definedName>
  </definedNames>
  <calcPr calcId="145621"/>
</workbook>
</file>

<file path=xl/calcChain.xml><?xml version="1.0" encoding="utf-8"?>
<calcChain xmlns="http://schemas.openxmlformats.org/spreadsheetml/2006/main">
  <c r="B4" i="2" l="1"/>
  <c r="AG115" i="1"/>
  <c r="H11" i="1" s="1"/>
  <c r="AG104" i="1"/>
  <c r="AG94" i="1"/>
  <c r="AG93" i="1"/>
  <c r="AG86" i="1"/>
  <c r="AG85" i="1"/>
  <c r="AG76" i="1"/>
  <c r="AG75" i="1"/>
  <c r="AG73" i="1"/>
  <c r="AG66" i="1"/>
  <c r="G65" i="1"/>
  <c r="AG64" i="1"/>
  <c r="P64" i="1"/>
  <c r="I6" i="3" s="1"/>
  <c r="G64" i="1"/>
  <c r="AG63" i="1"/>
  <c r="M58" i="1" s="1"/>
  <c r="AG62" i="1"/>
  <c r="C57" i="1" s="1"/>
  <c r="L60" i="1"/>
  <c r="O59" i="1"/>
  <c r="C58" i="1"/>
  <c r="AG57" i="1"/>
  <c r="L57" i="1"/>
  <c r="K69" i="1" s="1"/>
  <c r="P56" i="1"/>
  <c r="AG55" i="1"/>
  <c r="AG49" i="1"/>
  <c r="AL45" i="1"/>
  <c r="AG44" i="1"/>
  <c r="AL42" i="1"/>
  <c r="AG37" i="1"/>
  <c r="I26" i="1" s="1"/>
  <c r="E37" i="1"/>
  <c r="F29" i="2" s="1"/>
  <c r="G35" i="1"/>
  <c r="D27" i="3" s="1"/>
  <c r="C35" i="1"/>
  <c r="D27" i="2" s="1"/>
  <c r="AG29" i="1"/>
  <c r="AG28" i="1"/>
  <c r="AG27" i="1"/>
  <c r="B27" i="1"/>
  <c r="I15" i="3" s="1"/>
  <c r="U26" i="1"/>
  <c r="AG25" i="1"/>
  <c r="AG22" i="1"/>
  <c r="AG20" i="1"/>
  <c r="T19" i="1"/>
  <c r="C19" i="1"/>
  <c r="B19" i="1"/>
  <c r="U18" i="1"/>
  <c r="AG15" i="1"/>
  <c r="T15" i="1"/>
  <c r="S15" i="1"/>
  <c r="C15" i="1"/>
  <c r="H4" i="3" s="1"/>
  <c r="R13" i="1"/>
  <c r="Q12" i="1"/>
  <c r="AG8" i="1"/>
  <c r="AG7" i="1"/>
  <c r="AG5" i="1"/>
  <c r="O5" i="1"/>
  <c r="AG4" i="1"/>
  <c r="AG3" i="1"/>
  <c r="D12" i="1" s="1"/>
  <c r="AG2" i="1"/>
  <c r="AE1" i="1"/>
  <c r="AG125" i="1" s="1"/>
  <c r="C40" i="2" l="1"/>
  <c r="C40" i="3"/>
  <c r="H65" i="1"/>
  <c r="G27" i="3"/>
  <c r="AG13" i="1"/>
  <c r="AG16" i="1"/>
  <c r="AG26" i="1"/>
  <c r="AG30" i="1"/>
  <c r="AG50" i="1"/>
  <c r="I61" i="1"/>
  <c r="AG61" i="1"/>
  <c r="C56" i="1" s="1"/>
  <c r="G63" i="1"/>
  <c r="K64" i="1"/>
  <c r="K65" i="1"/>
  <c r="AG69" i="1"/>
  <c r="AG77" i="1"/>
  <c r="AG87" i="1"/>
  <c r="AG95" i="1"/>
  <c r="AG106" i="1"/>
  <c r="AG116" i="1"/>
  <c r="A6" i="2"/>
  <c r="E29" i="3"/>
  <c r="AG6" i="1"/>
  <c r="AG14" i="1"/>
  <c r="AG35" i="1"/>
  <c r="AG41" i="1"/>
  <c r="AG45" i="1"/>
  <c r="AG56" i="1"/>
  <c r="I63" i="1"/>
  <c r="L64" i="1"/>
  <c r="L65" i="1"/>
  <c r="K67" i="1"/>
  <c r="AG70" i="1"/>
  <c r="H67" i="1" s="1"/>
  <c r="AG78" i="1"/>
  <c r="AG88" i="1"/>
  <c r="AG96" i="1"/>
  <c r="AG107" i="1"/>
  <c r="E42" i="3" s="1"/>
  <c r="AG117" i="1"/>
  <c r="A15" i="2"/>
  <c r="H64" i="1"/>
  <c r="G67" i="1"/>
  <c r="Q11" i="1"/>
  <c r="AG21" i="1"/>
  <c r="AG31" i="1"/>
  <c r="AG36" i="1"/>
  <c r="AG42" i="1"/>
  <c r="G62" i="1"/>
  <c r="AG65" i="1"/>
  <c r="AG71" i="1"/>
  <c r="H68" i="1" s="1"/>
  <c r="AG79" i="1"/>
  <c r="AG89" i="1"/>
  <c r="AG97" i="1"/>
  <c r="AG108" i="1"/>
  <c r="E42" i="2" s="1"/>
  <c r="AG119" i="1"/>
  <c r="B54" i="1" s="1"/>
  <c r="H5" i="1"/>
  <c r="G61" i="1"/>
  <c r="H3" i="1"/>
  <c r="AG51" i="1"/>
  <c r="H62" i="1"/>
  <c r="AG67" i="1"/>
  <c r="AG68" i="1"/>
  <c r="AG72" i="1"/>
  <c r="AG80" i="1"/>
  <c r="AG90" i="1"/>
  <c r="AG99" i="1"/>
  <c r="AG110" i="1"/>
  <c r="AG121" i="1"/>
  <c r="H13" i="1" s="1"/>
  <c r="G27" i="2"/>
  <c r="K62" i="1"/>
  <c r="G68" i="1"/>
  <c r="G69" i="1"/>
  <c r="AG81" i="1"/>
  <c r="AG91" i="1"/>
  <c r="AG101" i="1"/>
  <c r="AG111" i="1"/>
  <c r="AG122" i="1"/>
  <c r="AG12" i="1"/>
  <c r="AG32" i="1"/>
  <c r="AG43" i="1"/>
  <c r="AG48" i="1"/>
  <c r="AG60" i="1"/>
  <c r="L62" i="1"/>
  <c r="I66" i="1"/>
  <c r="AG74" i="1"/>
  <c r="G55" i="1" s="1"/>
  <c r="AG82" i="1"/>
  <c r="AG92" i="1"/>
  <c r="AG102" i="1"/>
  <c r="AG112" i="1"/>
  <c r="AG123" i="1"/>
  <c r="K68" i="1"/>
  <c r="AG103" i="1"/>
  <c r="AG113" i="1"/>
  <c r="C59" i="1" l="1"/>
  <c r="H7" i="1"/>
  <c r="W2" i="1"/>
  <c r="V68" i="1"/>
  <c r="G66" i="1"/>
  <c r="H59" i="1"/>
  <c r="I27" i="1"/>
  <c r="Y21" i="1"/>
  <c r="B43" i="1"/>
  <c r="K15" i="1"/>
  <c r="K16" i="1"/>
  <c r="C62" i="1"/>
  <c r="H56" i="1"/>
  <c r="Q10" i="1"/>
  <c r="C63" i="1"/>
  <c r="X45" i="1"/>
  <c r="B49" i="1"/>
  <c r="R57" i="1"/>
  <c r="C66" i="1"/>
  <c r="L59" i="1"/>
  <c r="H37" i="1"/>
  <c r="C37" i="1"/>
  <c r="L56" i="1"/>
  <c r="C61" i="1"/>
  <c r="I19" i="1"/>
  <c r="R47" i="1"/>
  <c r="N59" i="1"/>
  <c r="R35" i="1"/>
  <c r="R58" i="1"/>
  <c r="B53" i="1"/>
  <c r="H9" i="1"/>
  <c r="R53" i="1"/>
  <c r="B51" i="1"/>
  <c r="I32" i="1"/>
  <c r="C32" i="1"/>
  <c r="O9" i="1"/>
  <c r="B55" i="1"/>
  <c r="AB61" i="1"/>
  <c r="I30" i="1"/>
  <c r="Y26" i="1"/>
  <c r="AA68" i="1"/>
  <c r="B52" i="1"/>
  <c r="R54" i="1"/>
  <c r="I29" i="1"/>
  <c r="H69" i="1"/>
  <c r="Z61" i="1"/>
  <c r="I21" i="1"/>
  <c r="M55" i="1"/>
  <c r="C65" i="1"/>
  <c r="X61" i="1"/>
  <c r="C42" i="2"/>
  <c r="C42" i="3"/>
  <c r="E39" i="1"/>
  <c r="T61" i="1"/>
  <c r="R59" i="1"/>
  <c r="V63" i="1"/>
  <c r="M63" i="1"/>
  <c r="C60" i="1"/>
  <c r="AA61" i="1"/>
  <c r="H60" i="1"/>
  <c r="H57" i="1"/>
  <c r="L37" i="1"/>
  <c r="Z68" i="1"/>
  <c r="R51" i="1"/>
  <c r="R61" i="1"/>
  <c r="C64" i="1"/>
  <c r="R45" i="1"/>
  <c r="V61" i="1"/>
  <c r="G58" i="1"/>
  <c r="Y31" i="1"/>
  <c r="C44" i="3" l="1"/>
  <c r="C44" i="2"/>
  <c r="C48" i="3"/>
  <c r="C48" i="2"/>
  <c r="E46" i="1"/>
  <c r="M7" i="1"/>
  <c r="P59" i="1"/>
  <c r="C46" i="3"/>
  <c r="C46" i="2"/>
  <c r="O64" i="1" l="1"/>
  <c r="S18" i="1"/>
  <c r="L67" i="1"/>
  <c r="L68" i="1" l="1"/>
  <c r="L69" i="1"/>
</calcChain>
</file>

<file path=xl/sharedStrings.xml><?xml version="1.0" encoding="utf-8"?>
<sst xmlns="http://schemas.openxmlformats.org/spreadsheetml/2006/main" count="911" uniqueCount="809">
  <si>
    <t>č.jaz.</t>
  </si>
  <si>
    <t>SVYHLEDAT</t>
  </si>
  <si>
    <t>CZ</t>
  </si>
  <si>
    <t>EN</t>
  </si>
  <si>
    <t>DE</t>
  </si>
  <si>
    <t>PL</t>
  </si>
  <si>
    <t>FR</t>
  </si>
  <si>
    <t>NL</t>
  </si>
  <si>
    <t>EST</t>
  </si>
  <si>
    <t>FIN</t>
  </si>
  <si>
    <t>RU</t>
  </si>
  <si>
    <t>Jazyk</t>
  </si>
  <si>
    <t>číslo</t>
  </si>
  <si>
    <t xml:space="preserve">Zvolit jazyk: </t>
  </si>
  <si>
    <t>Select a language:</t>
  </si>
  <si>
    <t>Wählen Sie eine Sprache</t>
  </si>
  <si>
    <t>Wybierz język</t>
  </si>
  <si>
    <t>Sélectionner une langue</t>
  </si>
  <si>
    <t>Kies een taal:</t>
  </si>
  <si>
    <t>Valige keel</t>
  </si>
  <si>
    <t>Valitse kieli:</t>
  </si>
  <si>
    <t>Выберите язык:</t>
  </si>
  <si>
    <t>Zvol jazyk:</t>
  </si>
  <si>
    <t>mm</t>
  </si>
  <si>
    <t>Šířka otvoru</t>
  </si>
  <si>
    <t>Opening width</t>
  </si>
  <si>
    <t>Lichte Breite</t>
  </si>
  <si>
    <t>Szerokość otworu</t>
  </si>
  <si>
    <t>LARGEUR DE BAIE</t>
  </si>
  <si>
    <t>Dagmaat breedte</t>
  </si>
  <si>
    <t>Ava laius</t>
  </si>
  <si>
    <t>Oviaukon leveys</t>
  </si>
  <si>
    <t>Ширина проема</t>
  </si>
  <si>
    <t xml:space="preserve">HL max 4100 mm; </t>
  </si>
  <si>
    <t>Výška otvoru</t>
  </si>
  <si>
    <t>Opening height</t>
  </si>
  <si>
    <t>Lichte Höhe</t>
  </si>
  <si>
    <t>Wysokość otworu</t>
  </si>
  <si>
    <t>HAUTEUR DE BAIE</t>
  </si>
  <si>
    <t>Dagmaat hoogte</t>
  </si>
  <si>
    <t>Ava kõrgus</t>
  </si>
  <si>
    <t>Oviaukon korkeus</t>
  </si>
  <si>
    <t>Высота проема</t>
  </si>
  <si>
    <t>Wählen Sie eine Sprache:</t>
  </si>
  <si>
    <t>W max 8000 mm; H max 6500 mm; max. 40 m2</t>
  </si>
  <si>
    <t>POHLED ZEVNITŘ</t>
  </si>
  <si>
    <t>INTERIOR VIEW</t>
  </si>
  <si>
    <t>INNENANSICHT</t>
  </si>
  <si>
    <t>Widok od środka</t>
  </si>
  <si>
    <t>VUE INTERIEURE</t>
  </si>
  <si>
    <t>BINNENAANZICHT</t>
  </si>
  <si>
    <t>seestvaade</t>
  </si>
  <si>
    <t>SISÄLTÄPÄIN KUVATTUNA</t>
  </si>
  <si>
    <t>Вид изнутри</t>
  </si>
  <si>
    <t>Wybierz język:</t>
  </si>
  <si>
    <t>ŘEZ A-A</t>
  </si>
  <si>
    <t>SECTION A-A</t>
  </si>
  <si>
    <t>DURCHSCHNITT A-A</t>
  </si>
  <si>
    <t>Przekrój A-A</t>
  </si>
  <si>
    <t>COUPE A-A</t>
  </si>
  <si>
    <t>DOORSNEDE A-A</t>
  </si>
  <si>
    <t>vaade A-A</t>
  </si>
  <si>
    <t>LEIKKAUS A-A</t>
  </si>
  <si>
    <t>Разрез А-А</t>
  </si>
  <si>
    <t>Sélectionner une langue:</t>
  </si>
  <si>
    <t>ŘEZ B-B</t>
  </si>
  <si>
    <t>SECTION B-B</t>
  </si>
  <si>
    <t>DURCHSCHNITT B-B</t>
  </si>
  <si>
    <t>Przekrój B-B</t>
  </si>
  <si>
    <t>COUPE B-B</t>
  </si>
  <si>
    <t>DOORSNEDE B-B</t>
  </si>
  <si>
    <t>VAADE B-B</t>
  </si>
  <si>
    <t>LEIKKAUS B-B</t>
  </si>
  <si>
    <t>Разрез B-B</t>
  </si>
  <si>
    <t>POZNÁMKA:</t>
  </si>
  <si>
    <t>NOTE:</t>
  </si>
  <si>
    <t>ACHTUNG:</t>
  </si>
  <si>
    <t>Uwaga:</t>
  </si>
  <si>
    <t>Remarque:</t>
  </si>
  <si>
    <t>OPMERKING:</t>
  </si>
  <si>
    <t>MÄRKUS</t>
  </si>
  <si>
    <t>HUOMAUTUS:</t>
  </si>
  <si>
    <t>ПРИМЕЧАНИЯ:</t>
  </si>
  <si>
    <t>D=</t>
  </si>
  <si>
    <t>X=</t>
  </si>
  <si>
    <t>VEDENÍ PRO VYSOKÝ PŘEKLAD (HL)</t>
  </si>
  <si>
    <t>HIGH LIFT SYSTEM (HL)</t>
  </si>
  <si>
    <t xml:space="preserve"> HÖHERGEFÜHRTER BESCHLAG (HL)</t>
  </si>
  <si>
    <t>PROWADZENIE DLA WYSOKIEGO NADPROŻA (HL)</t>
  </si>
  <si>
    <t>LEVEE HAUTE (HL)</t>
  </si>
  <si>
    <t>HOOG beslagsysteem (HL)</t>
  </si>
  <si>
    <t>Kõrge tõste (HL)</t>
  </si>
  <si>
    <t>KORKEANOSTO (HL)</t>
  </si>
  <si>
    <t>ВЫСОКИЙ ПОДЪЕМ (HL)</t>
  </si>
  <si>
    <t>PRUŽINY NAD PŘEKLADEM</t>
  </si>
  <si>
    <t>springs above lintel</t>
  </si>
  <si>
    <t>Federn oberhalb des Sturzes</t>
  </si>
  <si>
    <t>SPRĘŻYNY NAD NADPROŻEM</t>
  </si>
  <si>
    <t>RESSORTS AVANTS DEPORTES DU LINTEAU</t>
  </si>
  <si>
    <t>veren boven latei</t>
  </si>
  <si>
    <t>Vedrud ava kohal</t>
  </si>
  <si>
    <t>jouset ovipalkkin päällä</t>
  </si>
  <si>
    <t>нижнее расположение вала</t>
  </si>
  <si>
    <t>pro HL&gt;600 a HL&lt;=1200</t>
  </si>
  <si>
    <t>pro HL&gt;600 and HL&lt;=1200</t>
  </si>
  <si>
    <t>pro HL&gt;600 und HL&lt;=1200</t>
  </si>
  <si>
    <t>pro HL&gt;600 i HL&lt;=1200</t>
  </si>
  <si>
    <t>pro HL&gt;600 et HL&lt;=1200</t>
  </si>
  <si>
    <t>PANEEL 40 mm</t>
  </si>
  <si>
    <t>HL&gt;600 ja HL&lt;=1200</t>
  </si>
  <si>
    <t>pro HL&gt;600 ja HL&lt;=1200</t>
  </si>
  <si>
    <t>при высоте подъема &gt; 600 и &lt;= 1200</t>
  </si>
  <si>
    <t>PANEL 40mm</t>
  </si>
  <si>
    <t>SECTION THICKNESS 40 mm</t>
  </si>
  <si>
    <t>Paneel 40 mm</t>
  </si>
  <si>
    <t>Panel 40 mm</t>
  </si>
  <si>
    <t>40 mm PANNEAU</t>
  </si>
  <si>
    <t>Max. WxH 5000x5500 max. 25m2</t>
  </si>
  <si>
    <t>Lamelli 40mm</t>
  </si>
  <si>
    <t xml:space="preserve">ТОЛЩИНА СЕКЦИИ 40мм </t>
  </si>
  <si>
    <t>Max. W x H 4000x4000</t>
  </si>
  <si>
    <t>elektrisch bediende deuren</t>
  </si>
  <si>
    <t>макс. ШхВ (WxH) 4000x4000</t>
  </si>
  <si>
    <t>Montáž na cihlové zdivo</t>
  </si>
  <si>
    <t>mounting on brickwork</t>
  </si>
  <si>
    <t>Montage auf Mauerwerk und Ziegel</t>
  </si>
  <si>
    <t>montaż do muru i cegły</t>
  </si>
  <si>
    <t>montage sur béton</t>
  </si>
  <si>
    <t>montage op beton</t>
  </si>
  <si>
    <t>Paigaldus kiviseinale</t>
  </si>
  <si>
    <t>asennus tiiliseinän</t>
  </si>
  <si>
    <t>монтаж на бетон</t>
  </si>
  <si>
    <t>F=</t>
  </si>
  <si>
    <t>A=</t>
  </si>
  <si>
    <t>Montáž na porobeton</t>
  </si>
  <si>
    <t>mounting on cellular concrete</t>
  </si>
  <si>
    <t>Montage auf Porenbeton oder Gasbeton</t>
  </si>
  <si>
    <t>montaż do betonu porowatego</t>
  </si>
  <si>
    <t>montage sur parpaing creux</t>
  </si>
  <si>
    <t>montage op gasbeton</t>
  </si>
  <si>
    <t>Paigaldus poorbetoonile</t>
  </si>
  <si>
    <t>asennus betoniin</t>
  </si>
  <si>
    <t>монтаж на газобетон</t>
  </si>
  <si>
    <t>Montáž na opláštění</t>
  </si>
  <si>
    <t>mounting on insulated cladding</t>
  </si>
  <si>
    <t>Montage auf ISO-Trapezblechfassade</t>
  </si>
  <si>
    <t>montaż do płaszcza</t>
  </si>
  <si>
    <t>montage sur structure métallique  (a fournir par le charpentier)</t>
  </si>
  <si>
    <t>montage op binnendooscontructie met damwandbeplating</t>
  </si>
  <si>
    <t>Paigaldus soojustatud seinapaneelile</t>
  </si>
  <si>
    <t>asennus eristettyyn seinäelementtiin</t>
  </si>
  <si>
    <t>монтаж на металлокаркас</t>
  </si>
  <si>
    <t>PRÁCE, KTERÉ MUSÍ BÝT PROVEDENY ZÁKAZNÍKEM PŘED MONTÁŽÍ, POKUD NEBYLO DOHODNUTO JINAK</t>
  </si>
  <si>
    <t>WORK TO BE CARRIED OUT BY CUSTOMER, UNLESS IN ADVANCE OTHERWISE IS AGREED IN WRITING.</t>
  </si>
  <si>
    <t>VORBEREITUNGEN UND ARBEITEN DIE VOM AUFTRAGGEBER ZU ERBRINGEN SIND, AUßER BEI SCHRIFTLICHER VEREINBARUNG IM VORAUS:</t>
  </si>
  <si>
    <t>PRACE, KTÓRE MUSZĄ ZOSTAĆ WYKONANE PRZEZ KLIENTA PRZED WYKONANIEM MONTAŻU, O ILE NIE UZGODNIONO INACZEJ.</t>
  </si>
  <si>
    <t>APPROVISIONNEMENT &amp; TRAVAUX INCOMBANT AU MAITRE D'OUVRAGE  (sauf accord contraire)</t>
  </si>
  <si>
    <t xml:space="preserve">VOORZIENINGEN EN WERKZAAMHEDEN DOOR OPDRACHTGEVER TE VERZORGEN, TENZIJ VOORAF SCHRIFTELIJK ANDERS IS OVEREENGEKOMEN </t>
  </si>
  <si>
    <t>Kliendi poolt tehtavad ettevalmistustööd v.a juhul kui pole kirjalikult teistmoodi kokku lepitud</t>
  </si>
  <si>
    <t xml:space="preserve">ASIAKKAAN TEHTÄVÄT TYÖT, ELLEI ETUKÄTEEN KIRJALLISESTI MUUTOIN SOVITTU </t>
  </si>
  <si>
    <t>МАТЕРИАЛЫ И ПРОВЕДЕНИЕ РАБОТ ОБЕСПЕЧИВАЮТСЯ КЛИЕНТОМ,ЕСЛИ ИНОЕ НЕ ОГОВОРЕНО ЗАРАНЕЕ В ПИСЬМЕННОЙ ФОРМЕ</t>
  </si>
  <si>
    <t>Konstrukční:</t>
  </si>
  <si>
    <t>Constructional :</t>
  </si>
  <si>
    <t>Bauseits:</t>
  </si>
  <si>
    <t>Konstrukcyjne:</t>
  </si>
  <si>
    <t xml:space="preserve">Structure: </t>
  </si>
  <si>
    <t>Bouwkundig:</t>
  </si>
  <si>
    <t>Ehituslikud:</t>
  </si>
  <si>
    <t xml:space="preserve">
Rakenteellinen:</t>
  </si>
  <si>
    <t>Конструктивно:</t>
  </si>
  <si>
    <t>Příprava montážních ploch pro vedení vrat a pro pružiny.</t>
  </si>
  <si>
    <t>Supply and fix mounting frame and mounting surfaces for the rails and the spring packet in case of aerated concrete or sandwichpanels etc.</t>
  </si>
  <si>
    <t>Ein stählerner Montagerahmen zur Befestigung der vertikalen Laufschienen und des Federpakets bei nicht tragfähigen Flächen wie z.B. Porenbeton, Gasbeton, Isolationspanelen u.s.w..</t>
  </si>
  <si>
    <t>Przygotowanie powierzchni montażowych dla prowadzenia bramy oraz dla sprężyn.</t>
  </si>
  <si>
    <t>Préparation de la structure de montage des rails de guidage et des ressorts pour une pose sur panneaux isolants</t>
  </si>
  <si>
    <t>Een stalen montageframe voor de bevestiging van de verticale looprails en het verenpakket bij niet dragende montagevlakken, zoals gasbeton, isolatiepanelen, sandwichpanelen enz.</t>
  </si>
  <si>
    <t>Avaettevalmistusraami tarnimine ja paigaldus siinide ja vedrude kinnituseks</t>
  </si>
  <si>
    <t>Toimittaa ja asentaa asennuskehyksen ja asennuspinnat kiskoille ja jousipaketille tapauksessa jossa kevytbetooni tai sandwich-paneeli jne.</t>
  </si>
  <si>
    <t>Стальная монтажная рама для установки вертикальных направляющих и пружин в случае не несущих монтажных поверхностей, таких как: газобетон, изоляционные панели, сэндвич-панели и т.д.</t>
  </si>
  <si>
    <t>H=</t>
  </si>
  <si>
    <t>Montáž vodorovného vedení může být max. 1 metr od pevné konstrukce.</t>
  </si>
  <si>
    <t>Mounting possibilities for the horizontal rails up to 1 meter above the rails must be provided.</t>
  </si>
  <si>
    <t>Befestigungsmöglichkeit für die Zwischen- und Endaufhängung der horizontalen Laufschienen bis zu max. 1 m über diesen Laufschienen.</t>
  </si>
  <si>
    <t>Montaż prowadzenia poziomego można wykonać w oddaleniu maks. 1 metra od konstrukcji stałej.</t>
  </si>
  <si>
    <t xml:space="preserve">Lorsque les possibilités de montage des rails horizontaux dépassent </t>
  </si>
  <si>
    <t>Benodigde montagevlakken en vrije ruimtes, volgens tekening.</t>
  </si>
  <si>
    <t>Paigaldusruum ülalpool siini max. 1m</t>
  </si>
  <si>
    <t>Asennus mahdollisuudet vaakakiskoille enintään 1 metrin korkeudella kiskoista pitää olla mahdollista.</t>
  </si>
  <si>
    <t>Способы крепления для горизонтальных направляющих максимум до 1м над данными направляющими.</t>
  </si>
  <si>
    <t>Nezbytné montážní plochy a volný prostor dle nákresu.</t>
  </si>
  <si>
    <t>Necessary mounting surface and free room as shown.</t>
  </si>
  <si>
    <t>Benötigte Montageflächen und Freiräume gemäß Zeichnung.</t>
  </si>
  <si>
    <t>Niezbędne powierzchnie montażowe oraz wolna przestrzeń wg rysunku.</t>
  </si>
  <si>
    <t>Adapter la structure et l' espace disponible selon nos plans de réservations ci-contre</t>
  </si>
  <si>
    <t>Piisav paigaldusruum vastavalt lisatud joonisele</t>
  </si>
  <si>
    <t>Tarvittava kiinnityspinta ja vapaa tilaa kuvan mukaisesti.</t>
  </si>
  <si>
    <t>Необходимые монтажные поверхности и свободное пространство в соответствии с чертежом</t>
  </si>
  <si>
    <t xml:space="preserve">Elekrická příprava (pro elektricky ovládaná sekční vrata): </t>
  </si>
  <si>
    <t>Electrical supply required to be :</t>
  </si>
  <si>
    <t>Elektrisch (bei elektrisch bedienten Toren):</t>
  </si>
  <si>
    <t>Przygotowanie elektryczne (dla elektrycznie sterowanej bramy segmentowej) :</t>
  </si>
  <si>
    <t>Alimentation electrique  (pour porte motorisée) :</t>
  </si>
  <si>
    <t>Elektrisch: (bij elektrisch bediende deuren)</t>
  </si>
  <si>
    <t>Elektriliselt avatavate uste jaoks</t>
  </si>
  <si>
    <t>Sähkönsyöttö tarvittu:</t>
  </si>
  <si>
    <t>Электрика (для ворот с электрическим управлением):</t>
  </si>
  <si>
    <t>Zásuvka CEE 16 A, 5P, 400 V = zásuvka s nulovým a zemnícím vodičem</t>
  </si>
  <si>
    <t>400V/230V 3 phase neutral and earth terminating, provided by euro plug socket.</t>
  </si>
  <si>
    <t>Stromzufuhr 400V/230V mittels Eurosteckdose, 3 Phasen+0+PE max.1 meter vom Schaltkasten.</t>
  </si>
  <si>
    <t>Gniazdo CEE 16 A, 5P, 400 V = gniazdo z przewodnikiem zerowym i uziemiającym</t>
  </si>
  <si>
    <t>400V triphase T+N avec prise de raccordement CEE 16 A</t>
  </si>
  <si>
    <t xml:space="preserve">Voeding  400V/230V door middel van eurostopcontact, 3 fase+0+PE max. </t>
  </si>
  <si>
    <t>Toite vedu ajamini - 400V/230V, 3 faasi</t>
  </si>
  <si>
    <t>400V / 230V 3 vaihe+neutraali ja maadoitus tarjotuna Euro pistorasiasta.</t>
  </si>
  <si>
    <t xml:space="preserve">Питание 400V/230V посредством заземленной евророзетки, 3 фазы+0+РЕ </t>
  </si>
  <si>
    <t>Zajistit vhodnou montážní plochu pro řídící jednotku motoru 250 x 400 mm</t>
  </si>
  <si>
    <t>Provide suitable mounting surface for control panel, dimensions 250 x 400 mm</t>
  </si>
  <si>
    <t>Montagefläche für Schaltkasten, Abmessungen 250 x400 mm</t>
  </si>
  <si>
    <t>Zapewnić odpowiednią powierzchnię montażową dla jednostki sterującej silnika 250x400</t>
  </si>
  <si>
    <t>Assurer une surface de montage adéquate pour le coffret de commande du moteur L.250 x H.400 mm</t>
  </si>
  <si>
    <t>Montagevlak t.b.v. schakelkast, afmetingen 250 x 400 mm</t>
  </si>
  <si>
    <t>Kontrolleri jaoks piisava paigaldusruumi tagamine 250x400 mm</t>
  </si>
  <si>
    <t>Tarjoa sopivan kiinnityspinnan  ohjauspaneelia varten ,mitat 250 x 400 mm</t>
  </si>
  <si>
    <t>необходимо обеспечить монтажную поверхность для панели управления, размеры 250х400 мм</t>
  </si>
  <si>
    <t>NEZBYTNÁ MONTÁŽNÍ PLOCHA</t>
  </si>
  <si>
    <t>NECESSARY MOUNTING SURFACE</t>
  </si>
  <si>
    <t>BENÖTIGTE MONTAGEFLÄCHEN</t>
  </si>
  <si>
    <t>NIEZBĘDNA POWIERZCHNIA MONTAŻOWA</t>
  </si>
  <si>
    <t>SURFACE NECESSAIRE DE MONTAGE</t>
  </si>
  <si>
    <t>BENODIGDE MONTAGEVLAKKEN</t>
  </si>
  <si>
    <t>Vajalik paigaldusruum</t>
  </si>
  <si>
    <t>TARVITTAVA KIINNITYSPINTA</t>
  </si>
  <si>
    <t>необходимая монтажная поверхность</t>
  </si>
  <si>
    <r>
      <t xml:space="preserve">MONTÁŽNÍ PLOCHA PRO MOTOR </t>
    </r>
    <r>
      <rPr>
        <b/>
        <sz val="11"/>
        <color indexed="8"/>
        <rFont val="Calibri"/>
        <family val="2"/>
        <charset val="238"/>
      </rPr>
      <t>( L nebo R )</t>
    </r>
  </si>
  <si>
    <r>
      <t xml:space="preserve">MOUNTING SURFACE FOR MOTOR </t>
    </r>
    <r>
      <rPr>
        <b/>
        <sz val="11"/>
        <color indexed="8"/>
        <rFont val="Calibri"/>
        <family val="2"/>
        <charset val="238"/>
      </rPr>
      <t>(L or R)</t>
    </r>
  </si>
  <si>
    <r>
      <t xml:space="preserve">MONTAGEFLÄCHE FÜR DEN MOTOR </t>
    </r>
    <r>
      <rPr>
        <b/>
        <sz val="11"/>
        <color indexed="8"/>
        <rFont val="Calibri"/>
        <family val="2"/>
        <charset val="238"/>
      </rPr>
      <t>(wahlweise L oder R)</t>
    </r>
  </si>
  <si>
    <r>
      <t xml:space="preserve">POWIERZCHNIA MONTAŻOWA DLA SILNIKA </t>
    </r>
    <r>
      <rPr>
        <b/>
        <sz val="11"/>
        <color indexed="8"/>
        <rFont val="Calibri"/>
        <family val="2"/>
        <charset val="238"/>
      </rPr>
      <t>( L lub R )</t>
    </r>
  </si>
  <si>
    <r>
      <t xml:space="preserve">SURFACE DE L'EMPLACEMENT POUR  </t>
    </r>
    <r>
      <rPr>
        <b/>
        <sz val="11"/>
        <color indexed="8"/>
        <rFont val="Calibri"/>
        <family val="2"/>
        <charset val="238"/>
      </rPr>
      <t>(L ou R)</t>
    </r>
  </si>
  <si>
    <r>
      <t>BENODIGDE VRIJE RUIMTE (</t>
    </r>
    <r>
      <rPr>
        <b/>
        <sz val="11"/>
        <color indexed="8"/>
        <rFont val="Calibri"/>
        <family val="2"/>
        <charset val="238"/>
      </rPr>
      <t>L of R)</t>
    </r>
  </si>
  <si>
    <r>
      <t xml:space="preserve">Vajalik ruum mootori paigalduseks  </t>
    </r>
    <r>
      <rPr>
        <b/>
        <sz val="11"/>
        <color indexed="8"/>
        <rFont val="Calibri"/>
        <family val="2"/>
        <charset val="238"/>
      </rPr>
      <t>(L või R)</t>
    </r>
  </si>
  <si>
    <r>
      <t xml:space="preserve">KIINNITYSPINTA MOOTORILLE </t>
    </r>
    <r>
      <rPr>
        <b/>
        <sz val="11"/>
        <color indexed="8"/>
        <rFont val="Calibri"/>
        <family val="2"/>
        <charset val="238"/>
      </rPr>
      <t>(L tai R)</t>
    </r>
  </si>
  <si>
    <r>
      <t xml:space="preserve">монтажная поверхность для мотора </t>
    </r>
    <r>
      <rPr>
        <b/>
        <sz val="11"/>
        <color indexed="8"/>
        <rFont val="Calibri"/>
        <family val="2"/>
        <charset val="238"/>
      </rPr>
      <t>(L и R)</t>
    </r>
  </si>
  <si>
    <t>L=</t>
  </si>
  <si>
    <t>W=</t>
  </si>
  <si>
    <t>NEZBYTNÝ VOLNÝ PROSTOR</t>
  </si>
  <si>
    <t>NECESSARY FREE ROOM</t>
  </si>
  <si>
    <t>BENÖTIGTER FREIRAUM</t>
  </si>
  <si>
    <t>NIEZBĘDNA WOLNA PRZESTRZEŃ</t>
  </si>
  <si>
    <t>ESPACE LIBRE NECCESSARIE</t>
  </si>
  <si>
    <t>EXTRA VRIJE RUIMTE BIJ MOTOR/KETTING</t>
  </si>
  <si>
    <t xml:space="preserve">Vajalik vaba ruum </t>
  </si>
  <si>
    <t>TARVITTAVA VAPAA TILA</t>
  </si>
  <si>
    <t>необходимое свободное пространство</t>
  </si>
  <si>
    <t>EXTRA FREIRAUM FÜR MOTOR/KETTE</t>
  </si>
  <si>
    <t>sklon podlahy</t>
  </si>
  <si>
    <t>slope of the floor</t>
  </si>
  <si>
    <t>Bodenneigung</t>
  </si>
  <si>
    <t>nachylenie podłogi</t>
  </si>
  <si>
    <t>réservations seuil béton</t>
  </si>
  <si>
    <t>vloer met waterkering</t>
  </si>
  <si>
    <t>pinna langus</t>
  </si>
  <si>
    <t>kaltevuus</t>
  </si>
  <si>
    <t>пол с водоотводом</t>
  </si>
  <si>
    <t>směrem ven</t>
  </si>
  <si>
    <t>outside</t>
  </si>
  <si>
    <t>nach aussen</t>
  </si>
  <si>
    <t>w kierunku na zewnątrz</t>
  </si>
  <si>
    <t>buitenzijde</t>
  </si>
  <si>
    <t>väljaspool</t>
  </si>
  <si>
    <t>ulkopuoli</t>
  </si>
  <si>
    <t>sklon 3%</t>
  </si>
  <si>
    <t>fall 3%</t>
  </si>
  <si>
    <t>Gefälle 3%</t>
  </si>
  <si>
    <t>nachylenie 3%</t>
  </si>
  <si>
    <t>PENTE 3%</t>
  </si>
  <si>
    <t>afschot 3%</t>
  </si>
  <si>
    <t>langus 3%</t>
  </si>
  <si>
    <t>kaltevuus 3%</t>
  </si>
  <si>
    <t>наклон 3%</t>
  </si>
  <si>
    <t>internal level</t>
  </si>
  <si>
    <t>Wasserschenkel</t>
  </si>
  <si>
    <t>niveau binnen</t>
  </si>
  <si>
    <t>Sisemine tasand</t>
  </si>
  <si>
    <t>sisäinen taso</t>
  </si>
  <si>
    <t>floor with raised</t>
  </si>
  <si>
    <t>Boden mit</t>
  </si>
  <si>
    <t xml:space="preserve">vloer met  </t>
  </si>
  <si>
    <t>põrand koos tõstetud sisetasandiga</t>
  </si>
  <si>
    <t>lattia nostetulla</t>
  </si>
  <si>
    <t>пол с наклоном 3%</t>
  </si>
  <si>
    <t>L+W+R=</t>
  </si>
  <si>
    <r>
      <t xml:space="preserve">nezbytný boční prostor pro motor nebo řetězový pohon </t>
    </r>
    <r>
      <rPr>
        <b/>
        <sz val="11"/>
        <color indexed="8"/>
        <rFont val="Calibri"/>
        <family val="2"/>
        <charset val="238"/>
      </rPr>
      <t>( L nebo R )</t>
    </r>
  </si>
  <si>
    <r>
      <t xml:space="preserve">necessary side room for electrical- or hauling chain operation </t>
    </r>
    <r>
      <rPr>
        <b/>
        <sz val="11"/>
        <color indexed="8"/>
        <rFont val="Calibri"/>
        <family val="2"/>
        <charset val="238"/>
      </rPr>
      <t>(L or R)</t>
    </r>
  </si>
  <si>
    <r>
      <t xml:space="preserve">Benötigter Freiraum bei Elektro- oder Haspelkettenbedienung </t>
    </r>
    <r>
      <rPr>
        <b/>
        <sz val="11"/>
        <color indexed="8"/>
        <rFont val="Calibri"/>
        <family val="2"/>
        <charset val="238"/>
      </rPr>
      <t>(wahlweise L oder R)</t>
    </r>
  </si>
  <si>
    <r>
      <t xml:space="preserve">niezbędna przestrzeń boczna dla silnika lub napędu łańcuchowego </t>
    </r>
    <r>
      <rPr>
        <b/>
        <sz val="11"/>
        <color indexed="8"/>
        <rFont val="Calibri"/>
        <family val="2"/>
        <charset val="238"/>
      </rPr>
      <t>( L lub R )</t>
    </r>
  </si>
  <si>
    <r>
      <t xml:space="preserve">écoinçon minimum requis pour le moteur ou treuil a chaîne </t>
    </r>
    <r>
      <rPr>
        <b/>
        <sz val="11"/>
        <color indexed="8"/>
        <rFont val="Calibri"/>
        <family val="2"/>
        <charset val="238"/>
      </rPr>
      <t>(L ou R)</t>
    </r>
  </si>
  <si>
    <r>
      <t xml:space="preserve">benodigde vrije ruimte voor elektrische- of ketting bediening </t>
    </r>
    <r>
      <rPr>
        <b/>
        <sz val="11"/>
        <color indexed="8"/>
        <rFont val="Calibri"/>
        <family val="2"/>
        <charset val="238"/>
      </rPr>
      <t>(L of R)</t>
    </r>
  </si>
  <si>
    <r>
      <t xml:space="preserve">vajalik küljeruum mootori või tali puhul </t>
    </r>
    <r>
      <rPr>
        <b/>
        <sz val="11"/>
        <color indexed="8"/>
        <rFont val="Calibri"/>
        <family val="2"/>
        <charset val="238"/>
      </rPr>
      <t>(L või R)</t>
    </r>
  </si>
  <si>
    <r>
      <t xml:space="preserve">tarvittava tila mootori- tai ketjunostolle </t>
    </r>
    <r>
      <rPr>
        <b/>
        <sz val="11"/>
        <color indexed="8"/>
        <rFont val="Calibri"/>
        <family val="2"/>
        <charset val="238"/>
      </rPr>
      <t>(L tai R)</t>
    </r>
  </si>
  <si>
    <r>
      <t xml:space="preserve">необходимое боковое пространство для электропривода или цепного редуктора </t>
    </r>
    <r>
      <rPr>
        <b/>
        <sz val="11"/>
        <color indexed="8"/>
        <rFont val="Calibri"/>
        <family val="2"/>
        <charset val="238"/>
      </rPr>
      <t>(L и R)</t>
    </r>
  </si>
  <si>
    <t>montážní plocha pro řídící jednotku motoru, rozměr 250 x 400 mm</t>
  </si>
  <si>
    <t>mounting surface for control panel dimensions 250 x 400 mm</t>
  </si>
  <si>
    <t>Montagefläche für Antriebsteuerung Mass 250 x 400 mm</t>
  </si>
  <si>
    <t>powierzchnia montażowa dla jednostki sterującej silnika wymiary 250 x 400 mm</t>
  </si>
  <si>
    <t>surface de montage pour le Coffret de commande  du moteur (dimensions : L.250 x H.400 mm)</t>
  </si>
  <si>
    <t>montagevlak t.b.v. schakelkast afmetingen 250 x 400 mm</t>
  </si>
  <si>
    <t>paigalduspind 250x400 mm kontrollerile</t>
  </si>
  <si>
    <t>kiinnityspinta ohjauspaneelia varten ,mitat 250 x 400 mm</t>
  </si>
  <si>
    <t>монтажная поверхность для блока управления 250x400мм</t>
  </si>
  <si>
    <t>osa cca 1.400 až 1.500 mm od podlahy</t>
  </si>
  <si>
    <t>center line ca 1.400 -1.500 mm above floor</t>
  </si>
  <si>
    <t>Achse ca. 1.400 bis 1.500 mm vom Boden</t>
  </si>
  <si>
    <t>oś ok. 1.400 do 1.500 mm od podłogi</t>
  </si>
  <si>
    <t xml:space="preserve">axe d'env. 1 400 a 1 500 mm a compter </t>
  </si>
  <si>
    <t>hartlijn ca. 1.400 - 1.500 boven de vloer</t>
  </si>
  <si>
    <t>Keskjoon ca 1400-1500 mm põrandast</t>
  </si>
  <si>
    <t>keskiviiva ca 1,400 -1,500 mm: n korkeudella lattiasta</t>
  </si>
  <si>
    <t>осевая линия примерно 1.400-1.500 мм над уровнем пола</t>
  </si>
  <si>
    <t>zásuvka CEE 16 A, 5P, 400 V, jištěno 6 A (10 A) jističem, proudový chránič I=30 mA</t>
  </si>
  <si>
    <t>Electric outlet CEE 16 A, 5P, 400 V, protect by 6 A (10 A) circuit breaker, residual current device I=30 mA.</t>
  </si>
  <si>
    <t>Steckdose CEE 16 A, 5P, 400 V, Sicherung 6 A (10 A) mit Schutzschalter, Stromschutz  I=30 mA.</t>
  </si>
  <si>
    <t>gniazdo CEE 16 A, 5P, 400 V, ochrona za pomocą bezpiecznika 6A (10A), wyłącznik prądowy l=30 mA</t>
  </si>
  <si>
    <t>prise CEE 16 A, 5P, 400 V, assuré par un disjoncteur 6 A (10 A),  disjoncteur I=30 mA</t>
  </si>
  <si>
    <t xml:space="preserve">Eurostopcontact CEE 16 A, 5P, 400V, afgezekerd met 6A (10A), Overstroombeveiliging I=30mA. </t>
  </si>
  <si>
    <t>jõupesa CEE 16A, 5P, 400V koos 6A (10A) kaitsmega. Rikkevookukaitse I=30 mA</t>
  </si>
  <si>
    <t>Pistorasiasta CEE 16A, 5P, 400V, suojattu 6 A (10 A) katkaisijalla, vikavirtasuoja I = 30 mA.</t>
  </si>
  <si>
    <t>электрическая розетка CEE 16А, 5P, 400V, защита автоматическим выключателем 6А(10А), устройство защитного отключения (УЗО) I=30mA</t>
  </si>
  <si>
    <t xml:space="preserve">Plocha, která se montuje, musí být rovná a pevná a všechny montážní plochy musí být v jedné rovině. </t>
  </si>
  <si>
    <t>Mounting surface must be flat and massive and all mounting surfaces must be in one level.</t>
  </si>
  <si>
    <t>Die hinteren Seiten der Sturze und Pfeiler, sowie die Montagefläche für das Federpaket müssen eben und auf einer Linie liegen.</t>
  </si>
  <si>
    <t>Powierzchnia, do której wykonywany jest montaż, musi być równa i stabilna,a wszystkie powierzchnie montażowe powinny znajdować się w jednej płaszczyźnie.</t>
  </si>
  <si>
    <t>La surface d'appui pour la pose de la porte sectionnelle doit etre dans le meme plan et verticale.</t>
  </si>
  <si>
    <t>De achterkanten van de penanten, de latei en de montagevlakken van het verenpakket dienen vlak en in één lijn te liggen.</t>
  </si>
  <si>
    <t>Paigalduspind peab olema sirge, loodis ja mittepudenev ning kõik paigalduspinnad peavad olema ühes tasapinnas</t>
  </si>
  <si>
    <t>Asennuspintojen pitää olla tasaisia, kiinteitä ja samassa linjassa.</t>
  </si>
  <si>
    <t>Монтажная поверхность должна быть ровной и располагаться в одной вертикальной плоскости.</t>
  </si>
  <si>
    <t>W =</t>
  </si>
  <si>
    <t>L/R</t>
  </si>
  <si>
    <t>F</t>
  </si>
  <si>
    <t>Otvor musí být svislý a obdélníkový.</t>
  </si>
  <si>
    <t>Furthermore the opening must be plumb and square.</t>
  </si>
  <si>
    <t>Im übrigen müssen die lichten Masse eben und rechtwinklig sein.</t>
  </si>
  <si>
    <t>Otwór musi być pionowy i prostokątny.</t>
  </si>
  <si>
    <t>L'ouverture de la baie doit etre parfaitement de niveau et d'equerre.</t>
  </si>
  <si>
    <t>Tevens moet de dagmaat vlak en haaks zijn.</t>
  </si>
  <si>
    <t>Ava peab olema täpne ja nelinurkne</t>
  </si>
  <si>
    <t>Lisäksi oviaukon pitää olla pysty- ja vaakasuora sekä nelikulmainen.</t>
  </si>
  <si>
    <t>Проем также должен быть ровным и прямоугольным.</t>
  </si>
  <si>
    <t>H =</t>
  </si>
  <si>
    <t>D</t>
  </si>
  <si>
    <t>H - HL + 1000</t>
  </si>
  <si>
    <t>Podlaha musí být rovná a vodorovná.</t>
  </si>
  <si>
    <t>Floor area must be flat and horizontal.</t>
  </si>
  <si>
    <t>Der Fussboden muss glatt und waagerecht sein.</t>
  </si>
  <si>
    <t>Podłoga musi być równa i pozioma.</t>
  </si>
  <si>
    <t>Le sol doit etre parfaitement horizontal et plan.</t>
  </si>
  <si>
    <t>De afgewerkte vloer dient vlak en waterpas te liggen.</t>
  </si>
  <si>
    <t>Põrandapind peab olema sile ja horisontaalne</t>
  </si>
  <si>
    <t>Lattian pitää olla tasainen ja vaakasuora.</t>
  </si>
  <si>
    <t>Обработанный пол должен быть ровным и без склонов.</t>
  </si>
  <si>
    <t>HL=</t>
  </si>
  <si>
    <t xml:space="preserve">F = </t>
  </si>
  <si>
    <t>HL</t>
  </si>
  <si>
    <t xml:space="preserve">A = </t>
  </si>
  <si>
    <t>HL &lt; 1370 &amp; H&lt; 4800</t>
  </si>
  <si>
    <t>HL + 270</t>
  </si>
  <si>
    <t>Rozměry jsou v mm</t>
  </si>
  <si>
    <t>UNITS in mm</t>
  </si>
  <si>
    <t>MASSE in mm</t>
  </si>
  <si>
    <t>Wymiary podane w mm</t>
  </si>
  <si>
    <t>MESURES en mm</t>
  </si>
  <si>
    <t>MATEN in mm</t>
  </si>
  <si>
    <t>Mõõdud mm</t>
  </si>
  <si>
    <t>YKSIKKÖ mm</t>
  </si>
  <si>
    <t>размеры в мм:</t>
  </si>
  <si>
    <t xml:space="preserve">L = </t>
  </si>
  <si>
    <t>1370 = &lt;  HL &lt; 3050 &amp; H&lt; 4800</t>
  </si>
  <si>
    <t>HL + 320</t>
  </si>
  <si>
    <t>ширина проема</t>
  </si>
  <si>
    <t xml:space="preserve">R = </t>
  </si>
  <si>
    <t xml:space="preserve">3050 = &lt;  HL &lt; 4100 </t>
  </si>
  <si>
    <t>HL + 360</t>
  </si>
  <si>
    <t>K. Luňák</t>
  </si>
  <si>
    <t>R. Kříž</t>
  </si>
  <si>
    <t>STP</t>
  </si>
  <si>
    <t>-</t>
  </si>
  <si>
    <t>A3</t>
  </si>
  <si>
    <t>высота проема</t>
  </si>
  <si>
    <t xml:space="preserve">D = </t>
  </si>
  <si>
    <t>http://door-documents.com/en/indy-installation-drawing-hl</t>
  </si>
  <si>
    <t>Zvýšené vedení</t>
  </si>
  <si>
    <t>High lift</t>
  </si>
  <si>
    <t>Höhe der Führung</t>
  </si>
  <si>
    <t>Wyciąg wysoki</t>
  </si>
  <si>
    <t>LEEVE HAUTE</t>
  </si>
  <si>
    <t>Kõrge tõste</t>
  </si>
  <si>
    <t>korkeanosto</t>
  </si>
  <si>
    <t>Высокий подъем</t>
  </si>
  <si>
    <t>X =</t>
  </si>
  <si>
    <t>A</t>
  </si>
  <si>
    <t>Výška stropu</t>
  </si>
  <si>
    <t>Interior height</t>
  </si>
  <si>
    <t>Höhe Innenraum</t>
  </si>
  <si>
    <t>Wysokość stropu</t>
  </si>
  <si>
    <t>HAUTEUR SOUS PLAFOND</t>
  </si>
  <si>
    <t>Hoogte binnenruimte</t>
  </si>
  <si>
    <t>Sisemine kõrgus</t>
  </si>
  <si>
    <t>sisäkorkeus</t>
  </si>
  <si>
    <t>высота внутри помещения до перекрытий</t>
  </si>
  <si>
    <t xml:space="preserve">Y = </t>
  </si>
  <si>
    <t xml:space="preserve">HL&lt; 1370 </t>
  </si>
  <si>
    <t>HL +160</t>
  </si>
  <si>
    <t>Volný prostor nad překladem</t>
  </si>
  <si>
    <t>Free room above lintel</t>
  </si>
  <si>
    <t>Freiraum über Sturz</t>
  </si>
  <si>
    <t>Wolna przestrzeń nad nadprożem</t>
  </si>
  <si>
    <t>RETOMBEE DE LINTEAU DISPONIBLE</t>
  </si>
  <si>
    <t>Vrije ruimte boven latei</t>
  </si>
  <si>
    <t>Vaba ruum laeni</t>
  </si>
  <si>
    <t>vapaa ylätila</t>
  </si>
  <si>
    <t>свободное пространство над проемом</t>
  </si>
  <si>
    <t xml:space="preserve">Z = </t>
  </si>
  <si>
    <t>HL&lt; 3050</t>
  </si>
  <si>
    <t>HL +190</t>
  </si>
  <si>
    <t>Výška montážní plochy nad otvorem</t>
  </si>
  <si>
    <t>Height of frame above opening</t>
  </si>
  <si>
    <t>Höhe über Montagefläche Loch</t>
  </si>
  <si>
    <t>Wysokość powyżej otworu montażowego powierzchni</t>
  </si>
  <si>
    <t>HAUTEUR AU-DESSUS DU TROU DE SURFACE DE MONTAGE</t>
  </si>
  <si>
    <t>Hoogte frame boven latei</t>
  </si>
  <si>
    <t>Raami kõrgus ava kohal</t>
  </si>
  <si>
    <t>Rungon korkeus oviaukon yläpuolella.</t>
  </si>
  <si>
    <t>высота конструкции ворот над проемом</t>
  </si>
  <si>
    <t>HL&lt; 4100</t>
  </si>
  <si>
    <t>HL +210</t>
  </si>
  <si>
    <t>Volný prostor vlevo</t>
  </si>
  <si>
    <t>Free side room left</t>
  </si>
  <si>
    <t>Freiraum LINKS</t>
  </si>
  <si>
    <t>Wolna przestrzeń W LEWO</t>
  </si>
  <si>
    <t>ECOINCON GAUCHE</t>
  </si>
  <si>
    <t>Vrije zijruimte links</t>
  </si>
  <si>
    <t>Vaba küljeruum vasakul</t>
  </si>
  <si>
    <t>vapaa tila vasemalla</t>
  </si>
  <si>
    <t>свободное боковое пространство СЛЕВА</t>
  </si>
  <si>
    <t>Volný prostor vravo</t>
  </si>
  <si>
    <t>Free side room right</t>
  </si>
  <si>
    <t>Freiraum RECHTS</t>
  </si>
  <si>
    <t>Wolna przestrzeń W PRAWO</t>
  </si>
  <si>
    <t>ECOINCON DROITE</t>
  </si>
  <si>
    <t>Vrije zijruimte rechts</t>
  </si>
  <si>
    <t>Vaba küljeruum paremal</t>
  </si>
  <si>
    <t>vapaa tila oikealla</t>
  </si>
  <si>
    <t>свободное боковое пространство СПРАВА</t>
  </si>
  <si>
    <t>010-1</t>
  </si>
  <si>
    <t>Hloubka vedení</t>
  </si>
  <si>
    <t>Back room</t>
  </si>
  <si>
    <t>Einbautiefe</t>
  </si>
  <si>
    <t>Głębokość prowadzenia poziomego</t>
  </si>
  <si>
    <t>REFOULEMENT HORS-TOUT</t>
  </si>
  <si>
    <t>Inbouwdiepte</t>
  </si>
  <si>
    <t>Sügavus</t>
  </si>
  <si>
    <t>tila takana</t>
  </si>
  <si>
    <t>монтажная глубина</t>
  </si>
  <si>
    <t>Kotvící bod č. 1</t>
  </si>
  <si>
    <t>1 st hanging point</t>
  </si>
  <si>
    <t>1. Aufhängepunkt</t>
  </si>
  <si>
    <t>Punkt mocowania nr 1</t>
  </si>
  <si>
    <t>POINT D'ANCRAGE 1 SUSPENTE</t>
  </si>
  <si>
    <t>1e ophangpunt</t>
  </si>
  <si>
    <t>1.kinnituskoht</t>
  </si>
  <si>
    <t>1. ripustuspiste</t>
  </si>
  <si>
    <t>1 точка крепления горизонтальных направляющих</t>
  </si>
  <si>
    <t>Kotvící bod č. 2</t>
  </si>
  <si>
    <t>2 nd hanging point</t>
  </si>
  <si>
    <t>2. Aufhängepunkt</t>
  </si>
  <si>
    <t>Punkt mocowania nr 2</t>
  </si>
  <si>
    <t>POINT D'ANCRAGE 2 SUSPENTE</t>
  </si>
  <si>
    <t>2e ophangpunt</t>
  </si>
  <si>
    <t>2.kinnituskoht</t>
  </si>
  <si>
    <t>2. ripustuspiste</t>
  </si>
  <si>
    <t>2 точка крепления горизонтальных направляющих</t>
  </si>
  <si>
    <t>Kotvící bod č. 3</t>
  </si>
  <si>
    <t>3 rd hanging point</t>
  </si>
  <si>
    <t>3. Aufhängepunkt</t>
  </si>
  <si>
    <t>Punkt mocowania nr 3</t>
  </si>
  <si>
    <t>POINT D'ANCRAGE 3 SUSPENTE</t>
  </si>
  <si>
    <t>3e ophangpunt</t>
  </si>
  <si>
    <t>3. kinnituskohta</t>
  </si>
  <si>
    <t>3. ripustuspiste</t>
  </si>
  <si>
    <t>3 точка крепления горизонтальных направляющих</t>
  </si>
  <si>
    <t>Free room above mounting surface</t>
  </si>
  <si>
    <t>Freiplatz auf der Mountageplatz</t>
  </si>
  <si>
    <t>Wolny przestrzeń nad nadproźem</t>
  </si>
  <si>
    <t>Espace au-dessus de la surface de montage</t>
  </si>
  <si>
    <t>Ruimte boven montagevlak</t>
  </si>
  <si>
    <t>Vaba ruum ülalpool paigalduspinda</t>
  </si>
  <si>
    <t>Vapaa tila asennuspisten kohdalla</t>
  </si>
  <si>
    <t>технологический зазор</t>
  </si>
  <si>
    <t>Ruční ovládání</t>
  </si>
  <si>
    <t>Manually operated</t>
  </si>
  <si>
    <t>Handbedienung</t>
  </si>
  <si>
    <t>Sterowanie ręczne</t>
  </si>
  <si>
    <t>PORTE MANUELLE</t>
  </si>
  <si>
    <t>Handbediend</t>
  </si>
  <si>
    <t>Käsitsi avatav</t>
  </si>
  <si>
    <t>Käsikäyttöinen</t>
  </si>
  <si>
    <t>ручное управление</t>
  </si>
  <si>
    <t>Obě strany</t>
  </si>
  <si>
    <t>Both sided</t>
  </si>
  <si>
    <t>Beide Seiten</t>
  </si>
  <si>
    <t>Obie strony</t>
  </si>
  <si>
    <t>LES 2 COTES</t>
  </si>
  <si>
    <t>Beide zijden</t>
  </si>
  <si>
    <t>Mõlemal pool</t>
  </si>
  <si>
    <t xml:space="preserve">
Kaksipuoleinen</t>
  </si>
  <si>
    <t>обе стороны</t>
  </si>
  <si>
    <t>Ovládání elektricky nebo řetězovým převodem</t>
  </si>
  <si>
    <t>Electrical or hauling chain operated</t>
  </si>
  <si>
    <t>Elektrisch- oder Haspelkettenbedient</t>
  </si>
  <si>
    <t>Sterowanie elektr. lub za pom. przekł. łańc.</t>
  </si>
  <si>
    <t>PORTE MOTORISEE OU AVEC TREUIL A CHAINE</t>
  </si>
  <si>
    <t>Elektrisch- of handketting bediend</t>
  </si>
  <si>
    <t>Elektriliselt või taliga avatav</t>
  </si>
  <si>
    <t>Sähkö- tai ketjukäytöinen</t>
  </si>
  <si>
    <t>электрическое управление или с помощью цепи</t>
  </si>
  <si>
    <t>Motor nebo řetěz. př.</t>
  </si>
  <si>
    <t>Motor or chain side</t>
  </si>
  <si>
    <t>Motor-oder Kettenseite</t>
  </si>
  <si>
    <t>Silnik lub przekł. łańc.</t>
  </si>
  <si>
    <t>ECOINCON LIBRE A COTE DE MOTEUR</t>
  </si>
  <si>
    <t>Motor- of kettingzijde</t>
  </si>
  <si>
    <t>Mootori või tali pool</t>
  </si>
  <si>
    <t>Mootorin tai ketjun puolinen</t>
  </si>
  <si>
    <t>сторона цепи или мотора</t>
  </si>
  <si>
    <t>Głębokość prowadzenia</t>
  </si>
  <si>
    <t>Tila takana</t>
  </si>
  <si>
    <t>Kotvící bod, když je</t>
  </si>
  <si>
    <t>Hanging point if</t>
  </si>
  <si>
    <t>Aufhängepunkte, wenn</t>
  </si>
  <si>
    <t>Punkty mocowania, jeżeli</t>
  </si>
  <si>
    <t>POINT D'ANCRAGE DES SUSPENTES, SI</t>
  </si>
  <si>
    <t>Ophangpunt, als</t>
  </si>
  <si>
    <t xml:space="preserve">Kinnituskoht, kui </t>
  </si>
  <si>
    <t>Ripustuspiste jos</t>
  </si>
  <si>
    <t>точки крепления горизонтальных направляющих, если</t>
  </si>
  <si>
    <t>Kotvící bod</t>
  </si>
  <si>
    <t>Hanging point</t>
  </si>
  <si>
    <t>Aufhängepunkte</t>
  </si>
  <si>
    <t>Punkty mocowania</t>
  </si>
  <si>
    <t>POINT D'ANCRAGE DES SUSPENTES</t>
  </si>
  <si>
    <t>Ophangpunt</t>
  </si>
  <si>
    <t>Kinntuskoht</t>
  </si>
  <si>
    <t>Ripustuspiste</t>
  </si>
  <si>
    <t>точка крепления</t>
  </si>
  <si>
    <t>Wolna przestrzeń nad nadprożem (min.)</t>
  </si>
  <si>
    <t>Vaba ruum sillusest  laeni</t>
  </si>
  <si>
    <t>Tila oviaukon päällä</t>
  </si>
  <si>
    <t>Osa hřídele nad překladem</t>
  </si>
  <si>
    <t>Height of shaft above lintel</t>
  </si>
  <si>
    <t>Mitte Achse zum Sturz</t>
  </si>
  <si>
    <t>Oś wału nad nadprożem</t>
  </si>
  <si>
    <t>POSITIONNEMENT AXE DE l'ARBRE DE LINTEAU</t>
  </si>
  <si>
    <t>Center as boven latei</t>
  </si>
  <si>
    <t>Kesktelg</t>
  </si>
  <si>
    <t>Akseli ovipalkkin päällä</t>
  </si>
  <si>
    <t>центральная ось вала</t>
  </si>
  <si>
    <t>Sestavil:</t>
  </si>
  <si>
    <t>Designed by:</t>
  </si>
  <si>
    <t>Aufgestellt:</t>
  </si>
  <si>
    <t>Wykonał:</t>
  </si>
  <si>
    <t>DESSINE PAR:</t>
  </si>
  <si>
    <t>Getekend door:</t>
  </si>
  <si>
    <t>Joonestatud:</t>
  </si>
  <si>
    <t xml:space="preserve">
Suunnitellut:</t>
  </si>
  <si>
    <t>спроектировано:</t>
  </si>
  <si>
    <t>Upravil:</t>
  </si>
  <si>
    <t>Checked by:</t>
  </si>
  <si>
    <t>Bereinigt:</t>
  </si>
  <si>
    <t>Skorygował:</t>
  </si>
  <si>
    <t>MODIFIE PAR:</t>
  </si>
  <si>
    <t>Gecontroleerd door:</t>
  </si>
  <si>
    <t>Kontrollitud:</t>
  </si>
  <si>
    <t>Tarkistanut</t>
  </si>
  <si>
    <t>проверил:</t>
  </si>
  <si>
    <t>Schváleno - datum:</t>
  </si>
  <si>
    <t>Approved by - date:</t>
  </si>
  <si>
    <t>Bereinigt am:</t>
  </si>
  <si>
    <t>Skorygowano dnia:</t>
  </si>
  <si>
    <t>MODIFIE LE (DATE):</t>
  </si>
  <si>
    <t>Goedgekeurd datum:</t>
  </si>
  <si>
    <t>Kinnitatud:</t>
  </si>
  <si>
    <t xml:space="preserve">
Hyväksytty - päivämäärä:</t>
  </si>
  <si>
    <t>одобрил-дата:</t>
  </si>
  <si>
    <t>Název souboru:</t>
  </si>
  <si>
    <t>File name:</t>
  </si>
  <si>
    <t>Dateiname:</t>
  </si>
  <si>
    <t>Nazwa pliku:</t>
  </si>
  <si>
    <t>TITRE:</t>
  </si>
  <si>
    <t>Bestandsnaam</t>
  </si>
  <si>
    <t>Faili nimi:</t>
  </si>
  <si>
    <t xml:space="preserve">
Tiedoston nimi:</t>
  </si>
  <si>
    <t>навание файла:</t>
  </si>
  <si>
    <t>Datum:</t>
  </si>
  <si>
    <t>Date:</t>
  </si>
  <si>
    <t>Data:</t>
  </si>
  <si>
    <t>DATE:</t>
  </si>
  <si>
    <t>Kuupäev:</t>
  </si>
  <si>
    <t>Päivämäärä:</t>
  </si>
  <si>
    <t>дата:</t>
  </si>
  <si>
    <t>Měřítko</t>
  </si>
  <si>
    <t>Scale:</t>
  </si>
  <si>
    <t>Massst.:</t>
  </si>
  <si>
    <t>Podział.:</t>
  </si>
  <si>
    <t>ECHELLE:</t>
  </si>
  <si>
    <t>Schaal:</t>
  </si>
  <si>
    <t>Mõõtkava:</t>
  </si>
  <si>
    <t>Mittakaava:</t>
  </si>
  <si>
    <t>шкала:</t>
  </si>
  <si>
    <t xml:space="preserve">Formát: </t>
  </si>
  <si>
    <t>Sheet:</t>
  </si>
  <si>
    <t>Format:</t>
  </si>
  <si>
    <t>FORMAT:</t>
  </si>
  <si>
    <t>Formaat:</t>
  </si>
  <si>
    <t>Lista:</t>
  </si>
  <si>
    <t>лист:</t>
  </si>
  <si>
    <t>STAVEBNÍ PŘIPRAVENOST                    VEDENÍ PRO VYSOKÝ PŘEKLAD (HL)</t>
  </si>
  <si>
    <t>INSTALLATION DRAWING             HIGH LIFT SYSTEM (HL)</t>
  </si>
  <si>
    <t>BAUBEREITSCHAFT</t>
  </si>
  <si>
    <t>PRZYGOTOWANIE KONSTRUKCYJNE                      PROWADZENIE DLA WYSOKIEGO NADPROZA(HL)</t>
  </si>
  <si>
    <t>PLAN DE RESERVATIONS &amp; ENCOMBREMENTS                                       LEVEE HAUTE (HL)</t>
  </si>
  <si>
    <t>INBOUWTEKENING VOORGE                             HOOG beslagsysteem (HL)</t>
  </si>
  <si>
    <t>Paigaldusjoonis kõrge tõste (HL)</t>
  </si>
  <si>
    <t>ASENNUSPIIRUSTUS KORKEANOSTO (HL)</t>
  </si>
  <si>
    <t>монтажный чертеж: ВЫСОКИЙ ПОДЪЕМ (HL)</t>
  </si>
  <si>
    <t xml:space="preserve">pružiny nad překladem </t>
  </si>
  <si>
    <t xml:space="preserve">springs above lintel </t>
  </si>
  <si>
    <t xml:space="preserve"> Federn oberhalb des Sturzes </t>
  </si>
  <si>
    <t xml:space="preserve">sprężyny nad nadprożem </t>
  </si>
  <si>
    <t>verenpakket boven latei</t>
  </si>
  <si>
    <t>vedrud ava kohal</t>
  </si>
  <si>
    <t>VERTIKÁLNÍ SYSTÉM</t>
  </si>
  <si>
    <t>VERTICAL LIFT SYSTEM</t>
  </si>
  <si>
    <t>VERTIKALER BESCHLAG (VL-T)</t>
  </si>
  <si>
    <t>PROWADZENIE PIONOWE (VL-T)</t>
  </si>
  <si>
    <t>LEVEE VERTICALE (VL)</t>
  </si>
  <si>
    <t>VERTICAAL PLAFONDSYSTEEM</t>
  </si>
  <si>
    <t>Kód:</t>
  </si>
  <si>
    <t>Code:</t>
  </si>
  <si>
    <t>Kode:</t>
  </si>
  <si>
    <t>Kod:</t>
  </si>
  <si>
    <t>CODE:</t>
  </si>
  <si>
    <t>Nr.:</t>
  </si>
  <si>
    <t>Kood:</t>
  </si>
  <si>
    <t>Koodi:</t>
  </si>
  <si>
    <t>код:</t>
  </si>
  <si>
    <t>Verze:</t>
  </si>
  <si>
    <t>Version:</t>
  </si>
  <si>
    <t>Wersja:</t>
  </si>
  <si>
    <t>VERSION:</t>
  </si>
  <si>
    <t>Versie:</t>
  </si>
  <si>
    <t>Versioon:</t>
  </si>
  <si>
    <t>Versio:</t>
  </si>
  <si>
    <t>версия:</t>
  </si>
  <si>
    <t>NENÍ POŽADOVÁNO</t>
  </si>
  <si>
    <t>NOT REQUIRED</t>
  </si>
  <si>
    <t>NICHT ERFORDELICH</t>
  </si>
  <si>
    <t>Nie jest wymagane</t>
  </si>
  <si>
    <t>Pas nécessaire</t>
  </si>
  <si>
    <t>NIET BENODIGD</t>
  </si>
  <si>
    <t>Mitte vajalik:</t>
  </si>
  <si>
    <t>EI VAADITTU</t>
  </si>
  <si>
    <t>НЕ ТРЕБУЕТСЯ</t>
  </si>
  <si>
    <t>Prosím, vyplňte pole, která jsou označena barevně!</t>
  </si>
  <si>
    <t>Please, fill in the fields that are marked in color!</t>
  </si>
  <si>
    <t>Fülen Sie bitte markierte Felder!</t>
  </si>
  <si>
    <t>Prosimy o wypełnienie pól oznaczonych kolorem!</t>
  </si>
  <si>
    <t>S'il vous plaît remplissez les champs qui sont marqués en couleur!</t>
  </si>
  <si>
    <t>Vul a.u.b. de gemarkeerde velden in!</t>
  </si>
  <si>
    <t>Palun täida värvilised väljad!</t>
  </si>
  <si>
    <t xml:space="preserve">
Täytä kentät, jotka on merkitty värillä!</t>
  </si>
  <si>
    <t>пожалуйста, заполните поля обозначенные цветом!</t>
  </si>
  <si>
    <t>Ovládání</t>
  </si>
  <si>
    <t>Operated</t>
  </si>
  <si>
    <t>Bedienung</t>
  </si>
  <si>
    <t>Sterowanie</t>
  </si>
  <si>
    <t>PORTE</t>
  </si>
  <si>
    <t>Bediening</t>
  </si>
  <si>
    <t>Avamine</t>
  </si>
  <si>
    <t>Ohjattu</t>
  </si>
  <si>
    <t>Тип управления</t>
  </si>
  <si>
    <t>ručně</t>
  </si>
  <si>
    <t>manually</t>
  </si>
  <si>
    <t>hand</t>
  </si>
  <si>
    <t>ręcznie wykonany</t>
  </si>
  <si>
    <t>MANUELLE</t>
  </si>
  <si>
    <t>käsitsi</t>
  </si>
  <si>
    <t>manuaalisesti</t>
  </si>
  <si>
    <t>вручную</t>
  </si>
  <si>
    <t>elektricky</t>
  </si>
  <si>
    <t xml:space="preserve">electrical </t>
  </si>
  <si>
    <t>elektrisch</t>
  </si>
  <si>
    <t>elektrycznie</t>
  </si>
  <si>
    <t>MOTORISEE</t>
  </si>
  <si>
    <t>elektriliselt</t>
  </si>
  <si>
    <t>sähköisesti</t>
  </si>
  <si>
    <t>řetězovým převodem</t>
  </si>
  <si>
    <t>hauling chain operated</t>
  </si>
  <si>
    <t>Haspelkette</t>
  </si>
  <si>
    <t>Łańcuch napędu</t>
  </si>
  <si>
    <t>TREUIL A CHAINE</t>
  </si>
  <si>
    <t>handketting</t>
  </si>
  <si>
    <t>taliga</t>
  </si>
  <si>
    <t>ketjukäyttöinen</t>
  </si>
  <si>
    <t xml:space="preserve">
цепной привод
цепной привод</t>
  </si>
  <si>
    <t>Umístění motoru</t>
  </si>
  <si>
    <t>Possition of motor</t>
  </si>
  <si>
    <t>Antriebsposition</t>
  </si>
  <si>
    <t>Pozycja sylnika</t>
  </si>
  <si>
    <t>LA POSITION MOTEUR</t>
  </si>
  <si>
    <t>Positie van de motor</t>
  </si>
  <si>
    <t>mootori asukohta</t>
  </si>
  <si>
    <t>Mootorin asema</t>
  </si>
  <si>
    <t>расположение мотора</t>
  </si>
  <si>
    <t>Na levé straně</t>
  </si>
  <si>
    <t>On the left side</t>
  </si>
  <si>
    <t>Auf der linken Seiten</t>
  </si>
  <si>
    <t>Po lewej stronie</t>
  </si>
  <si>
    <t>SUR LE COTE GAUCHE</t>
  </si>
  <si>
    <t>Aan de linkerzijde</t>
  </si>
  <si>
    <t>vasakul küljel</t>
  </si>
  <si>
    <t>Vasemallla</t>
  </si>
  <si>
    <t>с левой стороны</t>
  </si>
  <si>
    <t>Na pravé straně</t>
  </si>
  <si>
    <t>On the right side</t>
  </si>
  <si>
    <t>Auf der rechten Seiten</t>
  </si>
  <si>
    <t>Po prawej strony</t>
  </si>
  <si>
    <t>SUR LE COTE DROIT</t>
  </si>
  <si>
    <t>Aan de rechterzijde</t>
  </si>
  <si>
    <t>paremal küljel</t>
  </si>
  <si>
    <t>Oikealla</t>
  </si>
  <si>
    <t>с правой стороны</t>
  </si>
  <si>
    <t>Variantní  montáž pružin</t>
  </si>
  <si>
    <t>Additional spring mounting</t>
  </si>
  <si>
    <t>Extra Aufhängung Federpaket</t>
  </si>
  <si>
    <t>Wariant montażu sprężyn</t>
  </si>
  <si>
    <t>MONTAGE DES RESSORTS</t>
  </si>
  <si>
    <t>Extra veer monteren</t>
  </si>
  <si>
    <t>když B&lt;2000 - STP-1 pružina (SPR-1)</t>
  </si>
  <si>
    <t>if W&lt; 2000 - INSD-1 spring (SPR-1)</t>
  </si>
  <si>
    <t>Wenn W&lt; 2000 - BAUS-1 Feder (SPR-1)</t>
  </si>
  <si>
    <t>jeżeli W&lt; 2000-STP-1 sprężyna (SPR-1)</t>
  </si>
  <si>
    <t>SI W&lt; 2000 STP-1RESSORT (SPR-1)</t>
  </si>
  <si>
    <t>als B&lt;2000 - INSD-1 veer (SPR-1)</t>
  </si>
  <si>
    <t>když 2000&gt;=W&lt;6000 - STP-2 pružiny (SPR-2)</t>
  </si>
  <si>
    <t>if 2000&gt;=W&lt;6000 - INSD-2 springs (SPR-2)</t>
  </si>
  <si>
    <t>Wenn 2000&gt;=W&lt;6000- BAUS-2 Federn (SPR-2)</t>
  </si>
  <si>
    <t>jeżeli 2000&gt;=W&lt;6000-STP-2 sprężyna (SPR-2)</t>
  </si>
  <si>
    <t>SI 2000&gt;=W&lt;6000 STP-2RESSORTS (SPR-2)</t>
  </si>
  <si>
    <t>als 2000&gt;=B&lt;6000 - INSD-2 veren (SPR-2)</t>
  </si>
  <si>
    <t>když W&gt;=6000 = STP-4 pružiny (SPR-4)</t>
  </si>
  <si>
    <t>if W&gt;=6000 - INSD-4 springs (SPR-4)</t>
  </si>
  <si>
    <t>Wenn W&gt;=6000 - BAUS-4 Federn (SPR-4)</t>
  </si>
  <si>
    <t>jeżeli W&gt;=6000-STP-4 sprężyna (SPR-4)</t>
  </si>
  <si>
    <t>SI W&gt; 6000 STP-4RESSORTS (SPR-4)</t>
  </si>
  <si>
    <t>als B&gt;=6000 - INSD-4 veren (SPR-4)</t>
  </si>
  <si>
    <t>Typ panelu</t>
  </si>
  <si>
    <t>Type of panel</t>
  </si>
  <si>
    <t>Paneel-Typ</t>
  </si>
  <si>
    <t>Rodzaj panelu</t>
  </si>
  <si>
    <t>Type de panneau</t>
  </si>
  <si>
    <t>Panel type</t>
  </si>
  <si>
    <t>Paneelitüüp</t>
  </si>
  <si>
    <t>lamellin tyypi</t>
  </si>
  <si>
    <t>Тип панели</t>
  </si>
  <si>
    <t>40mm</t>
  </si>
  <si>
    <t>40 mm</t>
  </si>
  <si>
    <t>40мм</t>
  </si>
  <si>
    <t>80mm</t>
  </si>
  <si>
    <t>80 mm</t>
  </si>
  <si>
    <t>80мм</t>
  </si>
  <si>
    <t>Když 1 1/4" hřídel, tak překlad automaticky HL+360 a osa hřídele HL+210 mm</t>
  </si>
  <si>
    <t>When 1 1/4 "shaft, lintel is HL+360 and axis of shaft is HL + 210 mm</t>
  </si>
  <si>
    <t>Wenn 1 1/4 "Schaft, Sturz ist HL + 360 und Achse der Welle ist HL + 210 mm</t>
  </si>
  <si>
    <t>Po 1 1/4 "Wał, nadproża jest HL + 360 i oś wału jest HL + 210 mm</t>
  </si>
  <si>
    <t>Lorsque 1 1/4 "arbre, linteau est HL + 360 et l'axe ou l'arbre est HL + 210 mm</t>
  </si>
  <si>
    <t>Wanneer 1 1/4 "schacht, latei is HL + 360 en as van de as is HL + 210 mm</t>
  </si>
  <si>
    <t>1 1/4" võlli puhul, sillus on HL+360 ja võlli kesktelg on HL+210 MM</t>
  </si>
  <si>
    <t>Kun 1 1/4 "akseli, ovipalkki on HL + 360 ja akselin keskiviiva on HL + 210 mm</t>
  </si>
  <si>
    <t>при использовании вала 1,25 дюйма перемычка (F) = HL+360 и ось вала (A) = HL+210мм</t>
  </si>
  <si>
    <t>Typ vedení</t>
  </si>
  <si>
    <t>Type of rails</t>
  </si>
  <si>
    <t>Laufschienen-Typ</t>
  </si>
  <si>
    <t>Typ moznazowych</t>
  </si>
  <si>
    <t>Type des rails</t>
  </si>
  <si>
    <t>Type looprails</t>
  </si>
  <si>
    <t>Siinide tüüp</t>
  </si>
  <si>
    <t>Kiskojen tyyppi</t>
  </si>
  <si>
    <t>Тип направляющих</t>
  </si>
  <si>
    <t>2"</t>
  </si>
  <si>
    <t>3"</t>
  </si>
  <si>
    <t>RÁM - VEDENÍ PRO VYSOKÝ PŘEKLAD (HL)</t>
  </si>
  <si>
    <t>FRAME - HIGH LIFT SYSTEM (HL)</t>
  </si>
  <si>
    <t>RAHMEN -  HÖHERGEFÜHRTER BESCHLAG (HL)</t>
  </si>
  <si>
    <t>RAMA - PROWADZENIE DLA WYSOKIEGO NADPROŻA (HL)</t>
  </si>
  <si>
    <t>CARDE - LEVEE HAUTE (HL)</t>
  </si>
  <si>
    <t>RAMM - HOOG beslagsysteem (HL)</t>
  </si>
  <si>
    <t>RAAM - Kõrge tõste (HL)</t>
  </si>
  <si>
    <t>KEHYS - KORKEANOSTO (HL)</t>
  </si>
  <si>
    <t xml:space="preserve">РАМКА - ВЫСОКИЙ ПОДЪЕМ (HL)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</si>
</sst>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8"/>
      <color theme="9" tint="-0.249977111117893"/>
      <name val="Calibri"/>
      <family val="2"/>
      <charset val="238"/>
    </font>
    <font>
      <b/>
      <sz val="10"/>
      <name val="Arial"/>
      <family val="2"/>
      <charset val="238"/>
    </font>
    <font>
      <sz val="14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4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4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8"/>
      <color indexed="8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1"/>
      <color theme="0"/>
      <name val="Calibri"/>
      <family val="2"/>
      <charset val="238"/>
    </font>
    <font>
      <sz val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theme="0"/>
      <name val="Calibri"/>
      <family val="2"/>
      <charset val="238"/>
    </font>
    <font>
      <sz val="22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0" borderId="1" xfId="0" applyBorder="1"/>
    <xf numFmtId="0" fontId="0" fillId="0" borderId="2" xfId="0" applyBorder="1" applyProtection="1"/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3" fillId="2" borderId="7" xfId="0" applyFont="1" applyFill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3" borderId="0" xfId="0" applyFill="1" applyBorder="1"/>
    <xf numFmtId="0" fontId="0" fillId="3" borderId="0" xfId="0" applyFill="1"/>
    <xf numFmtId="0" fontId="0" fillId="0" borderId="0" xfId="0" applyFill="1"/>
    <xf numFmtId="0" fontId="4" fillId="0" borderId="0" xfId="0" applyFont="1" applyBorder="1"/>
    <xf numFmtId="0" fontId="5" fillId="4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5" fillId="3" borderId="0" xfId="0" applyFont="1" applyFill="1"/>
    <xf numFmtId="0" fontId="0" fillId="0" borderId="0" xfId="0" applyFill="1" applyBorder="1"/>
    <xf numFmtId="0" fontId="0" fillId="4" borderId="0" xfId="0" applyFill="1" applyBorder="1" applyAlignment="1" applyProtection="1">
      <alignment horizontal="center"/>
      <protection locked="0"/>
    </xf>
    <xf numFmtId="0" fontId="8" fillId="0" borderId="0" xfId="0" applyFont="1"/>
    <xf numFmtId="0" fontId="7" fillId="0" borderId="0" xfId="0" applyFont="1" applyBorder="1"/>
    <xf numFmtId="0" fontId="4" fillId="0" borderId="0" xfId="0" applyFont="1" applyAlignment="1">
      <alignment horizontal="left" vertical="top" wrapText="1"/>
    </xf>
    <xf numFmtId="0" fontId="0" fillId="5" borderId="0" xfId="0" applyFill="1" applyAlignment="1" applyProtection="1">
      <alignment horizontal="center"/>
      <protection locked="0"/>
    </xf>
    <xf numFmtId="0" fontId="9" fillId="0" borderId="0" xfId="0" applyFont="1"/>
    <xf numFmtId="0" fontId="0" fillId="0" borderId="9" xfId="0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/>
    <xf numFmtId="0" fontId="0" fillId="0" borderId="11" xfId="0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4" borderId="0" xfId="0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/>
    <xf numFmtId="0" fontId="0" fillId="0" borderId="0" xfId="0" applyFont="1"/>
    <xf numFmtId="0" fontId="10" fillId="0" borderId="0" xfId="0" applyFont="1" applyBorder="1"/>
    <xf numFmtId="0" fontId="0" fillId="5" borderId="0" xfId="0" applyFill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0" fillId="0" borderId="12" xfId="0" applyFont="1" applyBorder="1"/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right"/>
    </xf>
    <xf numFmtId="1" fontId="1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/>
    <xf numFmtId="1" fontId="11" fillId="0" borderId="0" xfId="0" applyNumberFormat="1" applyFont="1" applyBorder="1" applyAlignment="1">
      <alignment horizontal="left"/>
    </xf>
    <xf numFmtId="1" fontId="13" fillId="0" borderId="0" xfId="0" applyNumberFormat="1" applyFont="1" applyBorder="1" applyAlignment="1">
      <alignment horizontal="left" vertical="top"/>
    </xf>
    <xf numFmtId="0" fontId="10" fillId="0" borderId="0" xfId="0" applyFont="1"/>
    <xf numFmtId="0" fontId="11" fillId="0" borderId="0" xfId="0" applyFont="1" applyBorder="1" applyAlignment="1">
      <alignment textRotation="90"/>
    </xf>
    <xf numFmtId="0" fontId="17" fillId="0" borderId="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left" textRotation="90"/>
    </xf>
    <xf numFmtId="0" fontId="0" fillId="0" borderId="0" xfId="0" applyBorder="1" applyAlignment="1">
      <alignment textRotation="90"/>
    </xf>
    <xf numFmtId="0" fontId="0" fillId="0" borderId="0" xfId="0" applyBorder="1" applyAlignment="1">
      <alignment horizontal="left" vertical="top" textRotation="90"/>
    </xf>
    <xf numFmtId="0" fontId="11" fillId="0" borderId="0" xfId="0" applyFont="1" applyBorder="1" applyAlignment="1">
      <alignment horizontal="right" textRotation="90"/>
    </xf>
    <xf numFmtId="0" fontId="13" fillId="0" borderId="0" xfId="0" applyFont="1" applyBorder="1" applyAlignment="1">
      <alignment horizontal="right" vertical="center" textRotation="90"/>
    </xf>
    <xf numFmtId="2" fontId="11" fillId="0" borderId="0" xfId="0" applyNumberFormat="1" applyFont="1" applyBorder="1" applyAlignment="1">
      <alignment horizontal="left" textRotation="90"/>
    </xf>
    <xf numFmtId="0" fontId="11" fillId="0" borderId="12" xfId="0" applyFont="1" applyBorder="1" applyAlignment="1">
      <alignment horizontal="center" textRotation="90"/>
    </xf>
    <xf numFmtId="0" fontId="11" fillId="0" borderId="0" xfId="0" applyFont="1" applyBorder="1" applyAlignment="1">
      <alignment horizontal="left" textRotation="90"/>
    </xf>
    <xf numFmtId="0" fontId="18" fillId="0" borderId="0" xfId="0" applyFont="1" applyBorder="1" applyAlignment="1">
      <alignment horizontal="left" wrapText="1"/>
    </xf>
    <xf numFmtId="0" fontId="0" fillId="0" borderId="0" xfId="0" applyBorder="1" applyAlignment="1">
      <alignment horizontal="right" vertical="top" textRotation="90"/>
    </xf>
    <xf numFmtId="0" fontId="0" fillId="0" borderId="0" xfId="0" applyBorder="1" applyAlignment="1">
      <alignment horizontal="right"/>
    </xf>
    <xf numFmtId="0" fontId="11" fillId="0" borderId="0" xfId="0" applyFont="1" applyBorder="1" applyAlignment="1">
      <alignment horizontal="center" textRotation="90"/>
    </xf>
    <xf numFmtId="0" fontId="11" fillId="0" borderId="0" xfId="0" applyFont="1" applyBorder="1" applyAlignment="1">
      <alignment vertical="center" textRotation="90"/>
    </xf>
    <xf numFmtId="0" fontId="13" fillId="0" borderId="0" xfId="0" applyFont="1" applyBorder="1" applyAlignment="1">
      <alignment horizontal="left"/>
    </xf>
    <xf numFmtId="0" fontId="11" fillId="0" borderId="12" xfId="0" applyNumberFormat="1" applyFont="1" applyBorder="1" applyAlignment="1">
      <alignment horizontal="center" vertical="top" textRotation="90"/>
    </xf>
    <xf numFmtId="0" fontId="11" fillId="0" borderId="0" xfId="0" applyFont="1" applyBorder="1" applyAlignment="1">
      <alignment horizontal="left" vertical="top" textRotation="90"/>
    </xf>
    <xf numFmtId="0" fontId="13" fillId="0" borderId="0" xfId="0" applyFont="1" applyBorder="1" applyAlignment="1">
      <alignment horizontal="right" textRotation="90"/>
    </xf>
    <xf numFmtId="0" fontId="0" fillId="0" borderId="0" xfId="0" applyBorder="1" applyAlignment="1"/>
    <xf numFmtId="0" fontId="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top" textRotation="90"/>
    </xf>
    <xf numFmtId="0" fontId="7" fillId="0" borderId="0" xfId="0" applyFont="1"/>
    <xf numFmtId="0" fontId="0" fillId="0" borderId="0" xfId="0" applyBorder="1" applyAlignment="1">
      <alignment horizontal="left" textRotation="90"/>
    </xf>
    <xf numFmtId="0" fontId="11" fillId="0" borderId="12" xfId="0" applyFont="1" applyBorder="1" applyAlignment="1">
      <alignment horizontal="center" vertical="center" textRotation="90"/>
    </xf>
    <xf numFmtId="0" fontId="0" fillId="0" borderId="0" xfId="0" applyAlignment="1">
      <alignment horizontal="left" textRotation="90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textRotation="90"/>
    </xf>
    <xf numFmtId="0" fontId="11" fillId="0" borderId="0" xfId="0" applyFont="1" applyBorder="1" applyAlignment="1">
      <alignment horizontal="left" vertical="top" textRotation="9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wrapText="1"/>
    </xf>
    <xf numFmtId="0" fontId="11" fillId="0" borderId="12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7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indent="5"/>
    </xf>
    <xf numFmtId="0" fontId="13" fillId="0" borderId="0" xfId="0" applyFont="1" applyBorder="1" applyAlignment="1">
      <alignment horizontal="left" vertical="top"/>
    </xf>
    <xf numFmtId="0" fontId="0" fillId="0" borderId="12" xfId="0" applyBorder="1"/>
    <xf numFmtId="0" fontId="6" fillId="0" borderId="0" xfId="0" applyFont="1" applyBorder="1" applyAlignment="1">
      <alignment horizontal="left" textRotation="89"/>
    </xf>
    <xf numFmtId="0" fontId="11" fillId="0" borderId="12" xfId="0" applyFont="1" applyBorder="1" applyAlignment="1">
      <alignment horizontal="right" vertical="center" textRotation="90"/>
    </xf>
    <xf numFmtId="0" fontId="13" fillId="0" borderId="0" xfId="0" applyFont="1"/>
    <xf numFmtId="0" fontId="6" fillId="0" borderId="0" xfId="0" applyFont="1" applyBorder="1" applyAlignment="1">
      <alignment horizontal="center" textRotation="89"/>
    </xf>
    <xf numFmtId="0" fontId="13" fillId="0" borderId="0" xfId="0" applyFont="1" applyBorder="1"/>
    <xf numFmtId="0" fontId="1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7" fillId="0" borderId="0" xfId="0" applyFont="1" applyBorder="1" applyAlignment="1">
      <alignment textRotation="90"/>
    </xf>
    <xf numFmtId="0" fontId="21" fillId="0" borderId="12" xfId="0" applyFont="1" applyBorder="1"/>
    <xf numFmtId="0" fontId="21" fillId="0" borderId="0" xfId="0" applyFont="1" applyBorder="1"/>
    <xf numFmtId="0" fontId="13" fillId="0" borderId="0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7" fillId="0" borderId="12" xfId="0" applyFont="1" applyBorder="1"/>
    <xf numFmtId="0" fontId="7" fillId="0" borderId="1" xfId="0" applyFont="1" applyBorder="1"/>
    <xf numFmtId="0" fontId="0" fillId="0" borderId="0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3" borderId="14" xfId="0" applyFill="1" applyBorder="1"/>
    <xf numFmtId="0" fontId="0" fillId="3" borderId="1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1" xfId="0" applyFill="1" applyBorder="1"/>
    <xf numFmtId="0" fontId="0" fillId="0" borderId="15" xfId="0" applyFill="1" applyBorder="1" applyAlignment="1">
      <alignment horizontal="center"/>
    </xf>
    <xf numFmtId="0" fontId="0" fillId="0" borderId="1" xfId="0" applyFill="1" applyBorder="1"/>
    <xf numFmtId="0" fontId="0" fillId="0" borderId="14" xfId="0" applyFill="1" applyBorder="1"/>
    <xf numFmtId="0" fontId="0" fillId="0" borderId="11" xfId="0" applyFill="1" applyBorder="1"/>
    <xf numFmtId="0" fontId="0" fillId="0" borderId="15" xfId="0" applyBorder="1"/>
    <xf numFmtId="0" fontId="22" fillId="0" borderId="14" xfId="0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1" xfId="0" applyFill="1" applyBorder="1"/>
    <xf numFmtId="0" fontId="0" fillId="0" borderId="16" xfId="0" applyFill="1" applyBorder="1" applyAlignment="1">
      <alignment horizontal="center"/>
    </xf>
    <xf numFmtId="0" fontId="0" fillId="0" borderId="17" xfId="0" applyFill="1" applyBorder="1"/>
    <xf numFmtId="0" fontId="0" fillId="0" borderId="15" xfId="0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/>
    </xf>
    <xf numFmtId="0" fontId="23" fillId="7" borderId="14" xfId="0" applyFont="1" applyFill="1" applyBorder="1"/>
    <xf numFmtId="0" fontId="22" fillId="0" borderId="13" xfId="0" applyFont="1" applyBorder="1"/>
    <xf numFmtId="0" fontId="22" fillId="0" borderId="11" xfId="0" applyFont="1" applyBorder="1" applyAlignment="1">
      <alignment horizontal="right"/>
    </xf>
    <xf numFmtId="0" fontId="0" fillId="0" borderId="17" xfId="0" applyBorder="1"/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14" xfId="0" applyFont="1" applyBorder="1" applyAlignment="1">
      <alignment horizontal="right"/>
    </xf>
    <xf numFmtId="14" fontId="0" fillId="0" borderId="13" xfId="0" applyNumberFormat="1" applyBorder="1" applyAlignment="1">
      <alignment horizontal="center"/>
    </xf>
    <xf numFmtId="14" fontId="0" fillId="0" borderId="18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2" fillId="3" borderId="14" xfId="0" applyFont="1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4" fillId="0" borderId="2" xfId="0" applyFont="1" applyFill="1" applyBorder="1" applyAlignment="1">
      <alignment horizontal="center" vertical="center" wrapText="1" shrinkToFit="1"/>
    </xf>
    <xf numFmtId="0" fontId="24" fillId="0" borderId="5" xfId="0" applyFont="1" applyFill="1" applyBorder="1" applyAlignment="1">
      <alignment horizontal="center" vertical="center" wrapText="1" shrinkToFit="1"/>
    </xf>
    <xf numFmtId="0" fontId="24" fillId="0" borderId="6" xfId="0" applyFont="1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0" fontId="0" fillId="0" borderId="11" xfId="0" applyFill="1" applyBorder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4" fillId="0" borderId="12" xfId="0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 vertical="center" wrapText="1" shrinkToFit="1"/>
    </xf>
    <xf numFmtId="0" fontId="24" fillId="0" borderId="4" xfId="0" applyFont="1" applyFill="1" applyBorder="1" applyAlignment="1">
      <alignment horizontal="center" vertical="center" wrapText="1" shrinkToFit="1"/>
    </xf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/>
    </xf>
    <xf numFmtId="0" fontId="22" fillId="0" borderId="14" xfId="0" applyFont="1" applyFill="1" applyBorder="1"/>
    <xf numFmtId="0" fontId="0" fillId="3" borderId="13" xfId="0" applyFill="1" applyBorder="1"/>
    <xf numFmtId="0" fontId="22" fillId="0" borderId="1" xfId="0" applyFont="1" applyFill="1" applyBorder="1" applyAlignment="1">
      <alignment horizontal="center"/>
    </xf>
    <xf numFmtId="0" fontId="0" fillId="0" borderId="4" xfId="0" applyFill="1" applyBorder="1"/>
    <xf numFmtId="0" fontId="22" fillId="0" borderId="1" xfId="0" applyFont="1" applyBorder="1" applyAlignment="1">
      <alignment horizontal="right"/>
    </xf>
    <xf numFmtId="0" fontId="24" fillId="0" borderId="18" xfId="0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center" vertical="center" wrapText="1" shrinkToFit="1"/>
    </xf>
    <xf numFmtId="0" fontId="24" fillId="0" borderId="17" xfId="0" applyFont="1" applyFill="1" applyBorder="1" applyAlignment="1">
      <alignment horizontal="center" vertical="center" wrapText="1" shrinkToFit="1"/>
    </xf>
    <xf numFmtId="0" fontId="0" fillId="0" borderId="16" xfId="0" applyBorder="1"/>
    <xf numFmtId="1" fontId="0" fillId="0" borderId="11" xfId="0" applyNumberFormat="1" applyFill="1" applyBorder="1"/>
    <xf numFmtId="0" fontId="0" fillId="0" borderId="13" xfId="0" applyFill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Fill="1" applyBorder="1"/>
    <xf numFmtId="0" fontId="22" fillId="0" borderId="1" xfId="0" applyFont="1" applyFill="1" applyBorder="1" applyAlignment="1">
      <alignment horizontal="right"/>
    </xf>
    <xf numFmtId="1" fontId="0" fillId="0" borderId="17" xfId="0" applyNumberFormat="1" applyFill="1" applyBorder="1"/>
    <xf numFmtId="0" fontId="0" fillId="0" borderId="18" xfId="0" applyBorder="1"/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22" fillId="0" borderId="0" xfId="0" applyFont="1" applyBorder="1" applyProtection="1"/>
    <xf numFmtId="0" fontId="25" fillId="0" borderId="0" xfId="0" applyFont="1" applyBorder="1"/>
    <xf numFmtId="0" fontId="11" fillId="0" borderId="2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12" xfId="0" applyFont="1" applyBorder="1"/>
    <xf numFmtId="0" fontId="11" fillId="0" borderId="4" xfId="0" applyFont="1" applyBorder="1"/>
    <xf numFmtId="0" fontId="11" fillId="0" borderId="12" xfId="0" applyFont="1" applyBorder="1" applyAlignment="1">
      <alignment textRotation="90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 textRotation="90"/>
    </xf>
  </cellXfs>
  <cellStyles count="1">
    <cellStyle name="Normal" xfId="0" builtinId="0"/>
  </cellStyles>
  <dxfs count="2"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indexed="4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0" Type="http://schemas.openxmlformats.org/officeDocument/2006/relationships/image" Target="../media/image10.png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733425</xdr:colOff>
      <xdr:row>10</xdr:row>
      <xdr:rowOff>123825</xdr:rowOff>
    </xdr:from>
    <xdr:to>
      <xdr:col>20</xdr:col>
      <xdr:colOff>295275</xdr:colOff>
      <xdr:row>36</xdr:row>
      <xdr:rowOff>133350</xdr:rowOff>
    </xdr:to>
    <xdr:pic>
      <xdr:nvPicPr>
        <xdr:cNvPr id="2" name="Obrázek 3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2552700"/>
          <a:ext cx="4324350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495300</xdr:colOff>
      <xdr:row>40</xdr:row>
      <xdr:rowOff>66675</xdr:rowOff>
    </xdr:from>
    <xdr:to>
      <xdr:col>7</xdr:col>
      <xdr:colOff>476250</xdr:colOff>
      <xdr:row>46</xdr:row>
      <xdr:rowOff>123825</xdr:rowOff>
    </xdr:to>
    <xdr:pic>
      <xdr:nvPicPr>
        <xdr:cNvPr id="3" name="Obrázek 4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924925"/>
          <a:ext cx="38957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11</xdr:row>
      <xdr:rowOff>228600</xdr:rowOff>
    </xdr:from>
    <xdr:to>
      <xdr:col>8</xdr:col>
      <xdr:colOff>38100</xdr:colOff>
      <xdr:row>37</xdr:row>
      <xdr:rowOff>123825</xdr:rowOff>
    </xdr:to>
    <xdr:pic>
      <xdr:nvPicPr>
        <xdr:cNvPr id="4" name="Obrázek 1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905125"/>
          <a:ext cx="4229100" cy="543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149954</xdr:colOff>
      <xdr:row>35</xdr:row>
      <xdr:rowOff>172214</xdr:rowOff>
    </xdr:from>
    <xdr:to>
      <xdr:col>8</xdr:col>
      <xdr:colOff>267214</xdr:colOff>
      <xdr:row>37</xdr:row>
      <xdr:rowOff>27754</xdr:rowOff>
    </xdr:to>
    <xdr:sp macro="" textlink="">
      <xdr:nvSpPr>
        <xdr:cNvPr id="5" name="TextovéPole 2"/>
        <xdr:cNvSpPr txBox="1"/>
      </xdr:nvSpPr>
      <xdr:spPr>
        <a:xfrm>
          <a:off x="4245704" y="8001764"/>
          <a:ext cx="726860" cy="2460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R=</a:t>
          </a:r>
        </a:p>
      </xdr:txBody>
    </xdr:sp>
    <xdr:clientData/>
  </xdr:twoCellAnchor>
  <xdr:twoCellAnchor>
    <xdr:from>
      <xdr:col>17</xdr:col>
      <xdr:colOff>23811</xdr:colOff>
      <xdr:row>12</xdr:row>
      <xdr:rowOff>17465</xdr:rowOff>
    </xdr:from>
    <xdr:to>
      <xdr:col>17</xdr:col>
      <xdr:colOff>520292</xdr:colOff>
      <xdr:row>13</xdr:row>
      <xdr:rowOff>49397</xdr:rowOff>
    </xdr:to>
    <xdr:sp macro="" textlink="">
      <xdr:nvSpPr>
        <xdr:cNvPr id="6" name="TextovéPole 142"/>
        <xdr:cNvSpPr txBox="1"/>
      </xdr:nvSpPr>
      <xdr:spPr>
        <a:xfrm>
          <a:off x="11987211" y="2922590"/>
          <a:ext cx="496481" cy="279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Y=</a:t>
          </a:r>
        </a:p>
      </xdr:txBody>
    </xdr:sp>
    <xdr:clientData/>
  </xdr:twoCellAnchor>
  <xdr:twoCellAnchor>
    <xdr:from>
      <xdr:col>7</xdr:col>
      <xdr:colOff>0</xdr:colOff>
      <xdr:row>19</xdr:row>
      <xdr:rowOff>57150</xdr:rowOff>
    </xdr:from>
    <xdr:to>
      <xdr:col>7</xdr:col>
      <xdr:colOff>514350</xdr:colOff>
      <xdr:row>20</xdr:row>
      <xdr:rowOff>85725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 flipH="1" flipV="1">
          <a:off x="4095750" y="4533900"/>
          <a:ext cx="5143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27</xdr:row>
      <xdr:rowOff>266700</xdr:rowOff>
    </xdr:from>
    <xdr:to>
      <xdr:col>7</xdr:col>
      <xdr:colOff>590550</xdr:colOff>
      <xdr:row>28</xdr:row>
      <xdr:rowOff>85725</xdr:rowOff>
    </xdr:to>
    <xdr:sp macro="" textlink="">
      <xdr:nvSpPr>
        <xdr:cNvPr id="8" name="Line 17"/>
        <xdr:cNvSpPr>
          <a:spLocks noChangeShapeType="1"/>
        </xdr:cNvSpPr>
      </xdr:nvSpPr>
      <xdr:spPr bwMode="auto">
        <a:xfrm flipV="1">
          <a:off x="4105275" y="6334125"/>
          <a:ext cx="5810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29</xdr:row>
      <xdr:rowOff>123825</xdr:rowOff>
    </xdr:from>
    <xdr:to>
      <xdr:col>7</xdr:col>
      <xdr:colOff>542925</xdr:colOff>
      <xdr:row>29</xdr:row>
      <xdr:rowOff>200025</xdr:rowOff>
    </xdr:to>
    <xdr:sp macro="" textlink="">
      <xdr:nvSpPr>
        <xdr:cNvPr id="9" name="Line 18"/>
        <xdr:cNvSpPr>
          <a:spLocks noChangeShapeType="1"/>
        </xdr:cNvSpPr>
      </xdr:nvSpPr>
      <xdr:spPr bwMode="auto">
        <a:xfrm flipV="1">
          <a:off x="4105275" y="6762750"/>
          <a:ext cx="5334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533400</xdr:colOff>
      <xdr:row>27</xdr:row>
      <xdr:rowOff>95250</xdr:rowOff>
    </xdr:from>
    <xdr:to>
      <xdr:col>8</xdr:col>
      <xdr:colOff>114300</xdr:colOff>
      <xdr:row>27</xdr:row>
      <xdr:rowOff>247650</xdr:rowOff>
    </xdr:to>
    <xdr:sp macro="" textlink="">
      <xdr:nvSpPr>
        <xdr:cNvPr id="10" name="Text Box 216"/>
        <xdr:cNvSpPr txBox="1">
          <a:spLocks noChangeArrowheads="1"/>
        </xdr:cNvSpPr>
      </xdr:nvSpPr>
      <xdr:spPr bwMode="auto">
        <a:xfrm>
          <a:off x="4629150" y="6162675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876300</xdr:colOff>
      <xdr:row>45</xdr:row>
      <xdr:rowOff>171450</xdr:rowOff>
    </xdr:from>
    <xdr:to>
      <xdr:col>16</xdr:col>
      <xdr:colOff>533400</xdr:colOff>
      <xdr:row>47</xdr:row>
      <xdr:rowOff>19050</xdr:rowOff>
    </xdr:to>
    <xdr:pic>
      <xdr:nvPicPr>
        <xdr:cNvPr id="11" name="Picture 24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825" y="10029825"/>
          <a:ext cx="7143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828675</xdr:colOff>
      <xdr:row>43</xdr:row>
      <xdr:rowOff>190500</xdr:rowOff>
    </xdr:from>
    <xdr:to>
      <xdr:col>16</xdr:col>
      <xdr:colOff>561975</xdr:colOff>
      <xdr:row>45</xdr:row>
      <xdr:rowOff>47625</xdr:rowOff>
    </xdr:to>
    <xdr:pic>
      <xdr:nvPicPr>
        <xdr:cNvPr id="12" name="Picture 25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0" y="9648825"/>
          <a:ext cx="790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447675</xdr:colOff>
      <xdr:row>44</xdr:row>
      <xdr:rowOff>9525</xdr:rowOff>
    </xdr:from>
    <xdr:to>
      <xdr:col>22</xdr:col>
      <xdr:colOff>552450</xdr:colOff>
      <xdr:row>45</xdr:row>
      <xdr:rowOff>28575</xdr:rowOff>
    </xdr:to>
    <xdr:pic>
      <xdr:nvPicPr>
        <xdr:cNvPr id="13" name="Picture 25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73350" y="9667875"/>
          <a:ext cx="714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561975</xdr:colOff>
      <xdr:row>17</xdr:row>
      <xdr:rowOff>28575</xdr:rowOff>
    </xdr:from>
    <xdr:to>
      <xdr:col>7</xdr:col>
      <xdr:colOff>571500</xdr:colOff>
      <xdr:row>18</xdr:row>
      <xdr:rowOff>285750</xdr:rowOff>
    </xdr:to>
    <xdr:sp macro="" textlink="">
      <xdr:nvSpPr>
        <xdr:cNvPr id="14" name="Line 254"/>
        <xdr:cNvSpPr>
          <a:spLocks noChangeShapeType="1"/>
        </xdr:cNvSpPr>
      </xdr:nvSpPr>
      <xdr:spPr bwMode="auto">
        <a:xfrm flipH="1" flipV="1">
          <a:off x="4048125" y="3943350"/>
          <a:ext cx="619125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18</xdr:col>
      <xdr:colOff>38100</xdr:colOff>
      <xdr:row>63</xdr:row>
      <xdr:rowOff>171450</xdr:rowOff>
    </xdr:from>
    <xdr:to>
      <xdr:col>20</xdr:col>
      <xdr:colOff>0</xdr:colOff>
      <xdr:row>68</xdr:row>
      <xdr:rowOff>161925</xdr:rowOff>
    </xdr:to>
    <xdr:pic>
      <xdr:nvPicPr>
        <xdr:cNvPr id="15" name="Obrázek 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6667" r="6667" b="7500"/>
        <a:stretch>
          <a:fillRect/>
        </a:stretch>
      </xdr:blipFill>
      <xdr:spPr bwMode="auto">
        <a:xfrm>
          <a:off x="12906375" y="13611225"/>
          <a:ext cx="10287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485775</xdr:colOff>
      <xdr:row>37</xdr:row>
      <xdr:rowOff>142875</xdr:rowOff>
    </xdr:from>
    <xdr:to>
      <xdr:col>12</xdr:col>
      <xdr:colOff>47625</xdr:colOff>
      <xdr:row>47</xdr:row>
      <xdr:rowOff>85725</xdr:rowOff>
    </xdr:to>
    <xdr:grpSp>
      <xdr:nvGrpSpPr>
        <xdr:cNvPr id="16" name="Skupina 9"/>
        <xdr:cNvGrpSpPr>
          <a:grpSpLocks/>
        </xdr:cNvGrpSpPr>
      </xdr:nvGrpSpPr>
      <xdr:grpSpPr bwMode="auto">
        <a:xfrm>
          <a:off x="6257925" y="8362950"/>
          <a:ext cx="2124075" cy="1971675"/>
          <a:chOff x="5595714" y="8462506"/>
          <a:chExt cx="2207432" cy="2483472"/>
        </a:xfrm>
      </xdr:grpSpPr>
      <xdr:pic>
        <xdr:nvPicPr>
          <xdr:cNvPr id="17" name="Obrázek 5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95714" y="8924560"/>
            <a:ext cx="2065529" cy="20214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" name="TextovéPole 120"/>
          <xdr:cNvSpPr txBox="1"/>
        </xdr:nvSpPr>
        <xdr:spPr>
          <a:xfrm>
            <a:off x="6932052" y="8462506"/>
            <a:ext cx="871094" cy="76783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cs-CZ" sz="3200"/>
              <a:t>B</a:t>
            </a:r>
          </a:p>
        </xdr:txBody>
      </xdr:sp>
      <xdr:pic>
        <xdr:nvPicPr>
          <xdr:cNvPr id="19" name="Obrázek 8"/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73108" y="9243929"/>
            <a:ext cx="2201956" cy="16326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533400</xdr:colOff>
      <xdr:row>29</xdr:row>
      <xdr:rowOff>95250</xdr:rowOff>
    </xdr:from>
    <xdr:to>
      <xdr:col>8</xdr:col>
      <xdr:colOff>114300</xdr:colOff>
      <xdr:row>29</xdr:row>
      <xdr:rowOff>247650</xdr:rowOff>
    </xdr:to>
    <xdr:sp macro="" textlink="">
      <xdr:nvSpPr>
        <xdr:cNvPr id="20" name="Text Box 216"/>
        <xdr:cNvSpPr txBox="1">
          <a:spLocks noChangeArrowheads="1"/>
        </xdr:cNvSpPr>
      </xdr:nvSpPr>
      <xdr:spPr bwMode="auto">
        <a:xfrm>
          <a:off x="4629150" y="67341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18</xdr:row>
      <xdr:rowOff>38100</xdr:rowOff>
    </xdr:from>
    <xdr:to>
      <xdr:col>7</xdr:col>
      <xdr:colOff>542925</xdr:colOff>
      <xdr:row>25</xdr:row>
      <xdr:rowOff>95250</xdr:rowOff>
    </xdr:to>
    <xdr:sp macro="" textlink="">
      <xdr:nvSpPr>
        <xdr:cNvPr id="21" name="Line 14"/>
        <xdr:cNvSpPr>
          <a:spLocks noChangeShapeType="1"/>
        </xdr:cNvSpPr>
      </xdr:nvSpPr>
      <xdr:spPr bwMode="auto">
        <a:xfrm flipH="1" flipV="1">
          <a:off x="3086100" y="4143375"/>
          <a:ext cx="1552575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119062</xdr:colOff>
      <xdr:row>14</xdr:row>
      <xdr:rowOff>153195</xdr:rowOff>
    </xdr:from>
    <xdr:to>
      <xdr:col>19</xdr:col>
      <xdr:colOff>410503</xdr:colOff>
      <xdr:row>14</xdr:row>
      <xdr:rowOff>153195</xdr:rowOff>
    </xdr:to>
    <xdr:cxnSp macro="">
      <xdr:nvCxnSpPr>
        <xdr:cNvPr id="22" name="Přímá spojovací čára 140"/>
        <xdr:cNvCxnSpPr/>
      </xdr:nvCxnSpPr>
      <xdr:spPr>
        <a:xfrm>
          <a:off x="12987337" y="3496470"/>
          <a:ext cx="90104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947057</xdr:colOff>
      <xdr:row>4</xdr:row>
      <xdr:rowOff>54429</xdr:rowOff>
    </xdr:from>
    <xdr:to>
      <xdr:col>25</xdr:col>
      <xdr:colOff>691243</xdr:colOff>
      <xdr:row>18</xdr:row>
      <xdr:rowOff>333375</xdr:rowOff>
    </xdr:to>
    <xdr:grpSp>
      <xdr:nvGrpSpPr>
        <xdr:cNvPr id="23" name="Skupina 4"/>
        <xdr:cNvGrpSpPr>
          <a:grpSpLocks/>
        </xdr:cNvGrpSpPr>
      </xdr:nvGrpSpPr>
      <xdr:grpSpPr bwMode="auto">
        <a:xfrm>
          <a:off x="14882132" y="949779"/>
          <a:ext cx="3373211" cy="3488871"/>
          <a:chOff x="15554324" y="981075"/>
          <a:chExt cx="3476625" cy="3508116"/>
        </a:xfrm>
      </xdr:grpSpPr>
      <xdr:pic>
        <xdr:nvPicPr>
          <xdr:cNvPr id="24" name="Obrázek 3"/>
          <xdr:cNvPicPr>
            <a:picLocks noChangeAspect="1"/>
          </xdr:cNvPicPr>
        </xdr:nvPicPr>
        <xdr:blipFill>
          <a:blip xmlns:r="http://schemas.openxmlformats.org/officeDocument/2006/relationships" r:embed="rId10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554324" y="981075"/>
            <a:ext cx="3476625" cy="35081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25" name="Skupina 10"/>
          <xdr:cNvGrpSpPr>
            <a:grpSpLocks/>
          </xdr:cNvGrpSpPr>
        </xdr:nvGrpSpPr>
        <xdr:grpSpPr bwMode="auto">
          <a:xfrm>
            <a:off x="16784816" y="3547287"/>
            <a:ext cx="973532" cy="692013"/>
            <a:chOff x="15877331" y="3841817"/>
            <a:chExt cx="914782" cy="788758"/>
          </a:xfrm>
        </xdr:grpSpPr>
        <xdr:sp macro="" textlink="">
          <xdr:nvSpPr>
            <xdr:cNvPr id="26" name="Ovál 123"/>
            <xdr:cNvSpPr/>
          </xdr:nvSpPr>
          <xdr:spPr>
            <a:xfrm>
              <a:off x="15877331" y="3995187"/>
              <a:ext cx="642352" cy="635388"/>
            </a:xfrm>
            <a:prstGeom prst="ellipse">
              <a:avLst/>
            </a:prstGeom>
            <a:noFill/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cs-CZ"/>
            </a:p>
          </xdr:txBody>
        </xdr:sp>
        <xdr:sp macro="" textlink="">
          <xdr:nvSpPr>
            <xdr:cNvPr id="27" name="TextovéPole 124"/>
            <xdr:cNvSpPr txBox="1"/>
          </xdr:nvSpPr>
          <xdr:spPr>
            <a:xfrm>
              <a:off x="16538036" y="3841817"/>
              <a:ext cx="254077" cy="3042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cs-CZ" sz="1100" b="1"/>
                <a:t>B</a:t>
              </a:r>
            </a:p>
          </xdr:txBody>
        </xdr:sp>
      </xdr:grpSp>
    </xdr:grpSp>
    <xdr:clientData/>
  </xdr:twoCellAnchor>
  <xdr:twoCellAnchor editAs="oneCell">
    <xdr:from>
      <xdr:col>21</xdr:col>
      <xdr:colOff>504825</xdr:colOff>
      <xdr:row>19</xdr:row>
      <xdr:rowOff>9525</xdr:rowOff>
    </xdr:from>
    <xdr:to>
      <xdr:col>23</xdr:col>
      <xdr:colOff>504825</xdr:colOff>
      <xdr:row>37</xdr:row>
      <xdr:rowOff>19050</xdr:rowOff>
    </xdr:to>
    <xdr:pic>
      <xdr:nvPicPr>
        <xdr:cNvPr id="28" name="Picture 2045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0" y="4486275"/>
          <a:ext cx="1419225" cy="375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2</xdr:row>
      <xdr:rowOff>9525</xdr:rowOff>
    </xdr:from>
    <xdr:to>
      <xdr:col>8</xdr:col>
      <xdr:colOff>180975</xdr:colOff>
      <xdr:row>30</xdr:row>
      <xdr:rowOff>123825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90525"/>
          <a:ext cx="4695825" cy="544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357191</xdr:colOff>
      <xdr:row>3</xdr:row>
      <xdr:rowOff>149546</xdr:rowOff>
    </xdr:from>
    <xdr:to>
      <xdr:col>1</xdr:col>
      <xdr:colOff>61916</xdr:colOff>
      <xdr:row>9</xdr:row>
      <xdr:rowOff>44857</xdr:rowOff>
    </xdr:to>
    <xdr:sp macro="" textlink="">
      <xdr:nvSpPr>
        <xdr:cNvPr id="3" name="TextovéPole 5"/>
        <xdr:cNvSpPr txBox="1"/>
      </xdr:nvSpPr>
      <xdr:spPr>
        <a:xfrm rot="16200000">
          <a:off x="-4802" y="1083039"/>
          <a:ext cx="1038311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A=</a:t>
          </a:r>
        </a:p>
      </xdr:txBody>
    </xdr:sp>
    <xdr:clientData/>
  </xdr:twoCellAnchor>
  <xdr:twoCellAnchor editAs="oneCell">
    <xdr:from>
      <xdr:col>2</xdr:col>
      <xdr:colOff>28575</xdr:colOff>
      <xdr:row>29</xdr:row>
      <xdr:rowOff>161925</xdr:rowOff>
    </xdr:from>
    <xdr:to>
      <xdr:col>6</xdr:col>
      <xdr:colOff>76200</xdr:colOff>
      <xdr:row>37</xdr:row>
      <xdr:rowOff>38100</xdr:rowOff>
    </xdr:to>
    <xdr:pic>
      <xdr:nvPicPr>
        <xdr:cNvPr id="4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686425"/>
          <a:ext cx="24860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314326</xdr:colOff>
      <xdr:row>27</xdr:row>
      <xdr:rowOff>163830</xdr:rowOff>
    </xdr:from>
    <xdr:to>
      <xdr:col>6</xdr:col>
      <xdr:colOff>142876</xdr:colOff>
      <xdr:row>29</xdr:row>
      <xdr:rowOff>87910</xdr:rowOff>
    </xdr:to>
    <xdr:sp macro="" textlink="">
      <xdr:nvSpPr>
        <xdr:cNvPr id="5" name="TextovéPole 7"/>
        <xdr:cNvSpPr txBox="1"/>
      </xdr:nvSpPr>
      <xdr:spPr>
        <a:xfrm>
          <a:off x="2752726" y="5307330"/>
          <a:ext cx="1047750" cy="305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W=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28575</xdr:rowOff>
    </xdr:from>
    <xdr:to>
      <xdr:col>8</xdr:col>
      <xdr:colOff>438150</xdr:colOff>
      <xdr:row>30</xdr:row>
      <xdr:rowOff>38100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9575"/>
          <a:ext cx="4705350" cy="534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166692</xdr:colOff>
      <xdr:row>3</xdr:row>
      <xdr:rowOff>149546</xdr:rowOff>
    </xdr:from>
    <xdr:to>
      <xdr:col>8</xdr:col>
      <xdr:colOff>481017</xdr:colOff>
      <xdr:row>9</xdr:row>
      <xdr:rowOff>44857</xdr:rowOff>
    </xdr:to>
    <xdr:sp macro="" textlink="">
      <xdr:nvSpPr>
        <xdr:cNvPr id="3" name="TextovéPole 7"/>
        <xdr:cNvSpPr txBox="1"/>
      </xdr:nvSpPr>
      <xdr:spPr>
        <a:xfrm rot="16200000">
          <a:off x="4681499" y="1083039"/>
          <a:ext cx="1038311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A=</a:t>
          </a:r>
        </a:p>
      </xdr:txBody>
    </xdr:sp>
    <xdr:clientData/>
  </xdr:twoCellAnchor>
  <xdr:twoCellAnchor editAs="oneCell">
    <xdr:from>
      <xdr:col>1</xdr:col>
      <xdr:colOff>581025</xdr:colOff>
      <xdr:row>29</xdr:row>
      <xdr:rowOff>66675</xdr:rowOff>
    </xdr:from>
    <xdr:to>
      <xdr:col>6</xdr:col>
      <xdr:colOff>19050</xdr:colOff>
      <xdr:row>36</xdr:row>
      <xdr:rowOff>133350</xdr:rowOff>
    </xdr:to>
    <xdr:pic>
      <xdr:nvPicPr>
        <xdr:cNvPr id="4" name="Obrázek 5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591175"/>
          <a:ext cx="24860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581026</xdr:colOff>
      <xdr:row>27</xdr:row>
      <xdr:rowOff>163830</xdr:rowOff>
    </xdr:from>
    <xdr:to>
      <xdr:col>5</xdr:col>
      <xdr:colOff>409576</xdr:colOff>
      <xdr:row>29</xdr:row>
      <xdr:rowOff>87910</xdr:rowOff>
    </xdr:to>
    <xdr:sp macro="" textlink="">
      <xdr:nvSpPr>
        <xdr:cNvPr id="5" name="TextovéPole 8"/>
        <xdr:cNvSpPr txBox="1"/>
      </xdr:nvSpPr>
      <xdr:spPr>
        <a:xfrm>
          <a:off x="2409826" y="5307330"/>
          <a:ext cx="1047750" cy="305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W=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CT321"/>
  <sheetViews>
    <sheetView showGridLines="0" tabSelected="1" topLeftCell="A4" zoomScale="70" zoomScaleNormal="70" zoomScaleSheetLayoutView="30" workbookViewId="0">
      <selection activeCell="Y82" sqref="Y82"/>
    </sheetView>
  </sheetViews>
  <sheetFormatPr defaultRowHeight="15" x14ac:dyDescent="0.25"/>
  <cols>
    <col min="1" max="1" width="2.7109375" customWidth="1"/>
    <col min="3" max="3" width="15" customWidth="1"/>
    <col min="4" max="4" width="7.140625" customWidth="1"/>
    <col min="9" max="9" width="16" customWidth="1"/>
    <col min="10" max="10" width="20.140625" customWidth="1"/>
    <col min="12" max="12" width="9.140625" customWidth="1"/>
    <col min="13" max="13" width="3.42578125" customWidth="1"/>
    <col min="15" max="15" width="16.85546875" customWidth="1"/>
    <col min="16" max="16" width="15.85546875" customWidth="1"/>
    <col min="18" max="18" width="13.5703125" customWidth="1"/>
    <col min="20" max="20" width="6.85546875" customWidth="1"/>
    <col min="21" max="21" width="14.85546875" customWidth="1"/>
    <col min="23" max="23" width="12.140625" customWidth="1"/>
    <col min="26" max="26" width="11.85546875" bestFit="1" customWidth="1"/>
    <col min="27" max="27" width="11.7109375" customWidth="1"/>
    <col min="29" max="29" width="2.140625" customWidth="1"/>
    <col min="30" max="31" width="9.140625" hidden="1" customWidth="1"/>
    <col min="32" max="32" width="8.42578125" hidden="1" customWidth="1"/>
    <col min="33" max="33" width="129.7109375" hidden="1" customWidth="1"/>
    <col min="34" max="34" width="95.42578125" hidden="1" customWidth="1"/>
    <col min="35" max="35" width="91.85546875" hidden="1" customWidth="1"/>
    <col min="36" max="36" width="81.42578125" hidden="1" customWidth="1"/>
    <col min="37" max="37" width="89.7109375" hidden="1" customWidth="1"/>
    <col min="38" max="38" width="71.42578125" hidden="1" customWidth="1"/>
    <col min="39" max="39" width="95.7109375" hidden="1" customWidth="1"/>
    <col min="40" max="40" width="104.7109375" style="16" hidden="1" customWidth="1"/>
    <col min="41" max="41" width="94" style="16" hidden="1" customWidth="1"/>
    <col min="42" max="42" width="100.140625" style="16" hidden="1" customWidth="1"/>
    <col min="43" max="52" width="9.140625" hidden="1" customWidth="1"/>
    <col min="53" max="90" width="9.140625" customWidth="1"/>
  </cols>
  <sheetData>
    <row r="1" spans="1:98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AB1" s="1"/>
      <c r="AD1" s="2" t="s">
        <v>0</v>
      </c>
      <c r="AE1" s="3">
        <f>VLOOKUP(E5,AD3:AE11,2,FALSE)</f>
        <v>1</v>
      </c>
      <c r="AF1" s="4"/>
      <c r="AG1" t="s">
        <v>1</v>
      </c>
      <c r="AH1" s="5" t="s">
        <v>2</v>
      </c>
      <c r="AI1" s="5" t="s">
        <v>3</v>
      </c>
      <c r="AJ1" s="5" t="s">
        <v>4</v>
      </c>
      <c r="AK1" s="5" t="s">
        <v>5</v>
      </c>
      <c r="AL1" s="5" t="s">
        <v>6</v>
      </c>
      <c r="AM1" s="5" t="s">
        <v>7</v>
      </c>
      <c r="AN1" s="5" t="s">
        <v>8</v>
      </c>
      <c r="AO1" s="5" t="s">
        <v>9</v>
      </c>
      <c r="AP1" s="5" t="s">
        <v>10</v>
      </c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spans="1:98" ht="15.75" customHeight="1" thickBot="1" x14ac:dyDescent="0.3">
      <c r="A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9" t="str">
        <f>AG12</f>
        <v>VEDENÍ PRO VYSOKÝ PŘEKLAD (HL)</v>
      </c>
      <c r="X2" s="9"/>
      <c r="Y2" s="9"/>
      <c r="Z2" s="9"/>
      <c r="AA2" s="9"/>
      <c r="AB2" s="10"/>
      <c r="AD2" s="11" t="s">
        <v>11</v>
      </c>
      <c r="AE2" s="12" t="s">
        <v>12</v>
      </c>
      <c r="AF2" s="13"/>
      <c r="AG2" t="str">
        <f>VLOOKUP(AH2,AH2:AR96,$AE$1,FALSE)</f>
        <v xml:space="preserve">Zvolit jazyk: </v>
      </c>
      <c r="AH2" t="s">
        <v>13</v>
      </c>
      <c r="AI2" t="s">
        <v>14</v>
      </c>
      <c r="AJ2" t="s">
        <v>15</v>
      </c>
      <c r="AK2" t="s">
        <v>16</v>
      </c>
      <c r="AL2" t="s">
        <v>17</v>
      </c>
      <c r="AM2" t="s">
        <v>18</v>
      </c>
      <c r="AN2" t="s">
        <v>19</v>
      </c>
      <c r="AO2" t="s">
        <v>20</v>
      </c>
      <c r="AP2" t="s">
        <v>21</v>
      </c>
    </row>
    <row r="3" spans="1:98" ht="19.5" customHeight="1" thickBot="1" x14ac:dyDescent="0.35">
      <c r="A3" s="6"/>
      <c r="B3" s="14" t="s">
        <v>22</v>
      </c>
      <c r="C3" s="15"/>
      <c r="D3" s="16"/>
      <c r="E3" s="7"/>
      <c r="F3" s="7"/>
      <c r="G3" s="7"/>
      <c r="H3" s="17" t="str">
        <f>VLOOKUP(AG3,AG2:AR96,$AE$1+1,FALSE)</f>
        <v>Šířka otvoru</v>
      </c>
      <c r="I3" s="17"/>
      <c r="K3" s="18"/>
      <c r="L3" s="7" t="s">
        <v>23</v>
      </c>
      <c r="M3" s="7"/>
      <c r="T3" s="7"/>
      <c r="U3" s="7"/>
      <c r="V3" s="19"/>
      <c r="W3" s="20"/>
      <c r="X3" s="20"/>
      <c r="Y3" s="20"/>
      <c r="Z3" s="20"/>
      <c r="AA3" s="20"/>
      <c r="AB3" s="21"/>
      <c r="AD3" s="22" t="s">
        <v>2</v>
      </c>
      <c r="AE3" s="23">
        <v>1</v>
      </c>
      <c r="AF3" s="4"/>
      <c r="AG3" t="str">
        <f t="shared" ref="AG3:AG66" si="0">VLOOKUP(AH3,AH3:AR97,$AE$1,FALSE)</f>
        <v>Šířka otvoru</v>
      </c>
      <c r="AH3" t="s">
        <v>24</v>
      </c>
      <c r="AI3" t="s">
        <v>25</v>
      </c>
      <c r="AJ3" t="s">
        <v>26</v>
      </c>
      <c r="AK3" t="s">
        <v>27</v>
      </c>
      <c r="AL3" t="s">
        <v>28</v>
      </c>
      <c r="AM3" t="s">
        <v>29</v>
      </c>
      <c r="AN3" t="s">
        <v>30</v>
      </c>
      <c r="AO3" t="s">
        <v>31</v>
      </c>
      <c r="AP3" t="s">
        <v>32</v>
      </c>
    </row>
    <row r="4" spans="1:98" ht="19.5" thickBot="1" x14ac:dyDescent="0.35">
      <c r="A4" s="6"/>
      <c r="B4" s="15" t="s">
        <v>14</v>
      </c>
      <c r="C4" s="15"/>
      <c r="D4" s="16"/>
      <c r="F4" s="7"/>
      <c r="G4" s="7"/>
      <c r="H4" s="17"/>
      <c r="I4" s="17"/>
      <c r="J4" s="24"/>
      <c r="K4" s="7"/>
      <c r="L4" s="7"/>
      <c r="M4" s="7"/>
      <c r="R4" s="7"/>
      <c r="S4" s="7"/>
      <c r="T4" s="7"/>
      <c r="X4" s="25" t="s">
        <v>33</v>
      </c>
      <c r="Y4" s="25"/>
      <c r="Z4" s="25"/>
      <c r="AA4" s="25"/>
      <c r="AB4" s="26"/>
      <c r="AD4" s="22" t="s">
        <v>3</v>
      </c>
      <c r="AE4" s="23">
        <v>2</v>
      </c>
      <c r="AF4" s="4"/>
      <c r="AG4" t="str">
        <f t="shared" si="0"/>
        <v>Výška otvoru</v>
      </c>
      <c r="AH4" t="s">
        <v>34</v>
      </c>
      <c r="AI4" t="s">
        <v>35</v>
      </c>
      <c r="AJ4" t="s">
        <v>36</v>
      </c>
      <c r="AK4" t="s">
        <v>37</v>
      </c>
      <c r="AL4" t="s">
        <v>38</v>
      </c>
      <c r="AM4" t="s">
        <v>39</v>
      </c>
      <c r="AN4" t="s">
        <v>40</v>
      </c>
      <c r="AO4" t="s">
        <v>41</v>
      </c>
      <c r="AP4" t="s">
        <v>42</v>
      </c>
    </row>
    <row r="5" spans="1:98" ht="19.5" customHeight="1" thickBot="1" x14ac:dyDescent="0.35">
      <c r="A5" s="6"/>
      <c r="B5" s="27" t="s">
        <v>43</v>
      </c>
      <c r="C5" s="15"/>
      <c r="D5" s="28"/>
      <c r="E5" s="29" t="s">
        <v>2</v>
      </c>
      <c r="F5" s="7"/>
      <c r="G5" s="7"/>
      <c r="H5" s="17" t="str">
        <f>VLOOKUP(AG4,AG2:AR96,$AE$1+1,FALSE)</f>
        <v>Výška otvoru</v>
      </c>
      <c r="I5" s="17"/>
      <c r="K5" s="29"/>
      <c r="L5" s="7" t="s">
        <v>23</v>
      </c>
      <c r="M5" s="7"/>
      <c r="O5" s="30" t="str">
        <f>VLOOKUP(AH99,AH99:AR175,$AE$1,FALSE)</f>
        <v>Prosím, vyplňte pole, která jsou označena barevně!</v>
      </c>
      <c r="P5" s="7"/>
      <c r="Q5" s="7"/>
      <c r="R5" s="7"/>
      <c r="S5" s="7"/>
      <c r="T5" s="7"/>
      <c r="X5" s="25" t="s">
        <v>44</v>
      </c>
      <c r="Y5" s="25"/>
      <c r="Z5" s="25"/>
      <c r="AA5" s="25"/>
      <c r="AB5" s="26"/>
      <c r="AD5" s="22" t="s">
        <v>4</v>
      </c>
      <c r="AE5" s="23">
        <v>3</v>
      </c>
      <c r="AF5" s="4"/>
      <c r="AG5" t="str">
        <f t="shared" si="0"/>
        <v>POHLED ZEVNITŘ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98" ht="23.25" customHeight="1" thickBot="1" x14ac:dyDescent="0.3">
      <c r="A6" s="6"/>
      <c r="B6" s="27" t="s">
        <v>54</v>
      </c>
      <c r="C6" s="15"/>
      <c r="D6" s="28"/>
      <c r="E6" s="7"/>
      <c r="F6" s="7"/>
      <c r="H6" s="7"/>
      <c r="I6" s="7"/>
      <c r="J6" s="24"/>
      <c r="K6" s="7"/>
      <c r="L6" s="7"/>
      <c r="M6" s="7"/>
      <c r="N6" s="7"/>
      <c r="O6" s="7"/>
      <c r="P6" s="7"/>
      <c r="Q6" s="7"/>
      <c r="R6" s="7"/>
      <c r="S6" s="7"/>
      <c r="T6" s="7"/>
      <c r="X6" s="31"/>
      <c r="Y6" s="31"/>
      <c r="Z6" s="31"/>
      <c r="AA6" s="7"/>
      <c r="AB6" s="6"/>
      <c r="AD6" s="22" t="s">
        <v>5</v>
      </c>
      <c r="AE6" s="23">
        <v>4</v>
      </c>
      <c r="AF6" s="4"/>
      <c r="AG6" t="str">
        <f t="shared" si="0"/>
        <v>ŘEZ A-A</v>
      </c>
      <c r="AH6" t="s">
        <v>55</v>
      </c>
      <c r="AI6" t="s">
        <v>56</v>
      </c>
      <c r="AJ6" t="s">
        <v>57</v>
      </c>
      <c r="AK6" t="s">
        <v>58</v>
      </c>
      <c r="AL6" t="s">
        <v>59</v>
      </c>
      <c r="AM6" t="s">
        <v>60</v>
      </c>
      <c r="AN6" t="s">
        <v>61</v>
      </c>
      <c r="AO6" t="s">
        <v>62</v>
      </c>
      <c r="AP6" t="s">
        <v>63</v>
      </c>
    </row>
    <row r="7" spans="1:98" ht="19.5" customHeight="1" thickBot="1" x14ac:dyDescent="0.3">
      <c r="A7" s="6"/>
      <c r="B7" s="27" t="s">
        <v>64</v>
      </c>
      <c r="C7" s="27"/>
      <c r="D7" s="7"/>
      <c r="E7" s="7"/>
      <c r="H7" s="32" t="str">
        <f>AG65</f>
        <v>Volný prostor nad překladem</v>
      </c>
      <c r="I7" s="32"/>
      <c r="J7" s="32"/>
      <c r="K7" s="33"/>
      <c r="L7" t="s">
        <v>23</v>
      </c>
      <c r="M7" s="34" t="str">
        <f>IF(N59&gt;4100,"HL max 4100 mm!!!","")</f>
        <v/>
      </c>
      <c r="T7" s="7"/>
      <c r="X7" s="31"/>
      <c r="Y7" s="31"/>
      <c r="Z7" s="31"/>
      <c r="AA7" s="7"/>
      <c r="AB7" s="6"/>
      <c r="AD7" s="35" t="s">
        <v>6</v>
      </c>
      <c r="AE7" s="36">
        <v>5</v>
      </c>
      <c r="AF7" s="24"/>
      <c r="AG7" t="str">
        <f t="shared" si="0"/>
        <v>ŘEZ B-B</v>
      </c>
      <c r="AH7" t="s">
        <v>65</v>
      </c>
      <c r="AI7" t="s">
        <v>66</v>
      </c>
      <c r="AJ7" t="s">
        <v>67</v>
      </c>
      <c r="AK7" t="s">
        <v>68</v>
      </c>
      <c r="AL7" t="s">
        <v>69</v>
      </c>
      <c r="AM7" t="s">
        <v>70</v>
      </c>
      <c r="AN7" t="s">
        <v>71</v>
      </c>
      <c r="AO7" t="s">
        <v>72</v>
      </c>
      <c r="AP7" t="s">
        <v>73</v>
      </c>
    </row>
    <row r="8" spans="1:98" ht="19.5" thickBot="1" x14ac:dyDescent="0.35">
      <c r="A8" s="6"/>
      <c r="B8" s="27" t="s">
        <v>19</v>
      </c>
      <c r="C8" s="27"/>
      <c r="D8" s="30"/>
      <c r="E8" s="30"/>
      <c r="F8" s="30"/>
      <c r="G8" s="37"/>
      <c r="H8" s="32"/>
      <c r="I8" s="32"/>
      <c r="J8" s="32"/>
      <c r="L8" s="7"/>
      <c r="M8" s="7"/>
      <c r="P8" s="7"/>
      <c r="Q8" s="7"/>
      <c r="R8" s="7"/>
      <c r="T8" s="7"/>
      <c r="X8" s="31"/>
      <c r="Y8" s="31"/>
      <c r="Z8" s="31"/>
      <c r="AA8" s="7"/>
      <c r="AB8" s="6"/>
      <c r="AD8" s="35" t="s">
        <v>7</v>
      </c>
      <c r="AE8" s="38">
        <v>6</v>
      </c>
      <c r="AG8" t="str">
        <f t="shared" si="0"/>
        <v>POZNÁMKA:</v>
      </c>
      <c r="AH8" t="s">
        <v>74</v>
      </c>
      <c r="AI8" t="s">
        <v>75</v>
      </c>
      <c r="AJ8" t="s">
        <v>76</v>
      </c>
      <c r="AK8" t="s">
        <v>77</v>
      </c>
      <c r="AL8" t="s">
        <v>78</v>
      </c>
      <c r="AM8" t="s">
        <v>79</v>
      </c>
      <c r="AN8" t="s">
        <v>80</v>
      </c>
      <c r="AO8" t="s">
        <v>81</v>
      </c>
      <c r="AP8" t="s">
        <v>82</v>
      </c>
    </row>
    <row r="9" spans="1:98" ht="19.5" thickBot="1" x14ac:dyDescent="0.35">
      <c r="A9" s="6"/>
      <c r="B9" s="27" t="s">
        <v>20</v>
      </c>
      <c r="C9" s="27"/>
      <c r="D9" s="7"/>
      <c r="E9" s="7"/>
      <c r="F9" s="7"/>
      <c r="G9" s="7"/>
      <c r="H9" s="39" t="str">
        <f>VLOOKUP(AG101,AG8:AR101,$AE$1+1,FALSE)</f>
        <v>Ovládání</v>
      </c>
      <c r="I9" s="28"/>
      <c r="J9" s="40"/>
      <c r="K9" s="41"/>
      <c r="L9" s="41"/>
      <c r="M9" s="41"/>
      <c r="N9" s="7"/>
      <c r="O9" s="42" t="str">
        <f>IF(OR(K9=AG102,K9=""),"",VLOOKUP(AG106,AG106:AR106,$AE$1+1,FALSE))</f>
        <v/>
      </c>
      <c r="P9" s="42"/>
      <c r="Q9" s="7"/>
      <c r="R9" s="41"/>
      <c r="S9" s="41"/>
      <c r="T9" s="43"/>
      <c r="U9" s="7"/>
      <c r="V9" s="7"/>
      <c r="W9" s="7"/>
      <c r="X9" s="7"/>
      <c r="Y9" s="7"/>
      <c r="Z9" s="7"/>
      <c r="AA9" s="7"/>
      <c r="AB9" s="6"/>
      <c r="AD9" s="35" t="s">
        <v>8</v>
      </c>
      <c r="AE9" s="38">
        <v>7</v>
      </c>
      <c r="AN9"/>
      <c r="AO9"/>
      <c r="AP9"/>
    </row>
    <row r="10" spans="1:98" ht="19.5" thickBot="1" x14ac:dyDescent="0.35">
      <c r="A10" s="6"/>
      <c r="B10" s="27" t="s">
        <v>21</v>
      </c>
      <c r="C10" s="27"/>
      <c r="D10" s="7"/>
      <c r="E10" s="7"/>
      <c r="F10" s="7"/>
      <c r="G10" s="7"/>
      <c r="H10" s="39"/>
      <c r="I10" s="7"/>
      <c r="J10" s="7"/>
      <c r="K10" s="40"/>
      <c r="L10" s="40"/>
      <c r="M10" s="40"/>
      <c r="N10" s="28"/>
      <c r="O10" s="44"/>
      <c r="P10" s="44"/>
      <c r="Q10" s="17" t="str">
        <f>VLOOKUP($AG$6,$AG$2:$AR$96,$AE$1+1,FALSE)</f>
        <v>ŘEZ A-A</v>
      </c>
      <c r="R10" s="40"/>
      <c r="S10" s="40"/>
      <c r="T10" s="43"/>
      <c r="U10" s="7"/>
      <c r="V10" s="7"/>
      <c r="W10" s="7"/>
      <c r="X10" s="7"/>
      <c r="Y10" s="7"/>
      <c r="Z10" s="7"/>
      <c r="AA10" s="7"/>
      <c r="AB10" s="6"/>
      <c r="AD10" s="35" t="s">
        <v>9</v>
      </c>
      <c r="AE10" s="38">
        <v>8</v>
      </c>
      <c r="AN10"/>
      <c r="AO10"/>
      <c r="AP10"/>
      <c r="BR10" s="45"/>
    </row>
    <row r="11" spans="1:98" ht="19.5" thickBot="1" x14ac:dyDescent="0.35">
      <c r="A11" s="6"/>
      <c r="B11" s="46"/>
      <c r="C11" s="46"/>
      <c r="D11" s="46"/>
      <c r="E11" s="46"/>
      <c r="F11" s="46"/>
      <c r="G11" s="46"/>
      <c r="H11" s="39" t="str">
        <f>AG115</f>
        <v>Typ panelu</v>
      </c>
      <c r="I11" s="7"/>
      <c r="J11" s="7"/>
      <c r="K11" s="47"/>
      <c r="L11" s="47"/>
      <c r="M11" s="47"/>
      <c r="N11" s="7"/>
      <c r="O11" s="48"/>
      <c r="P11" s="49" t="s">
        <v>83</v>
      </c>
      <c r="Q11" s="50" t="str">
        <f>$L$57</f>
        <v/>
      </c>
      <c r="R11" s="40"/>
      <c r="S11" s="40"/>
      <c r="T11" s="43"/>
      <c r="U11" s="7"/>
      <c r="V11" s="7"/>
      <c r="W11" s="7"/>
      <c r="X11" s="7"/>
      <c r="Y11" s="7"/>
      <c r="Z11" s="7"/>
      <c r="AA11" s="7"/>
      <c r="AB11" s="6"/>
      <c r="AD11" s="35" t="s">
        <v>10</v>
      </c>
      <c r="AE11" s="38">
        <v>9</v>
      </c>
      <c r="AN11"/>
      <c r="AO11"/>
      <c r="AP11"/>
    </row>
    <row r="12" spans="1:98" ht="18" x14ac:dyDescent="0.25">
      <c r="B12" s="51"/>
      <c r="C12" s="46"/>
      <c r="D12" s="52" t="str">
        <f>VLOOKUP(AG5,AG2:AR96,$AE$1+1,FALSE)</f>
        <v>POHLED ZEVNITŘ</v>
      </c>
      <c r="E12" s="52"/>
      <c r="F12" s="52"/>
      <c r="G12" s="46"/>
      <c r="H12" s="50"/>
      <c r="I12" s="7"/>
      <c r="J12" s="7"/>
      <c r="K12" s="7"/>
      <c r="L12" s="7"/>
      <c r="M12" s="7"/>
      <c r="N12" s="7"/>
      <c r="O12" s="7"/>
      <c r="P12" s="49" t="s">
        <v>84</v>
      </c>
      <c r="Q12" s="53" t="str">
        <f>IF($K$5="","",IF($Q$11&gt;=4500,$K$5-$P$59+500,$K$5-$P$59+500))</f>
        <v/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6"/>
      <c r="AG12" t="str">
        <f t="shared" si="0"/>
        <v>VEDENÍ PRO VYSOKÝ PŘEKLAD (HL)</v>
      </c>
      <c r="AH12" t="s">
        <v>85</v>
      </c>
      <c r="AI12" t="s">
        <v>86</v>
      </c>
      <c r="AJ12" t="s">
        <v>87</v>
      </c>
      <c r="AK12" t="s">
        <v>88</v>
      </c>
      <c r="AL12" t="s">
        <v>89</v>
      </c>
      <c r="AM12" t="s">
        <v>90</v>
      </c>
      <c r="AN12" t="s">
        <v>91</v>
      </c>
      <c r="AO12" t="s">
        <v>92</v>
      </c>
      <c r="AP12" t="s">
        <v>93</v>
      </c>
    </row>
    <row r="13" spans="1:98" ht="19.5" customHeight="1" x14ac:dyDescent="0.3">
      <c r="B13" s="51"/>
      <c r="C13" s="50"/>
      <c r="D13" s="46"/>
      <c r="E13" s="46"/>
      <c r="F13" s="46"/>
      <c r="G13" s="49"/>
      <c r="H13" s="17" t="str">
        <f>AG121</f>
        <v>Typ vedení</v>
      </c>
      <c r="I13" s="7"/>
      <c r="J13" s="7"/>
      <c r="K13" s="47"/>
      <c r="L13" s="47"/>
      <c r="M13" s="47"/>
      <c r="N13" s="7"/>
      <c r="O13" s="7"/>
      <c r="Q13" s="54"/>
      <c r="R13" s="55" t="str">
        <f>IF($K$5="","",IF($Q$11&lt;3000,0,IF(AND($Q$11&gt;=3000,$Q$11&lt;4500),$Q$12/2,($Q$12/3)*2)))</f>
        <v/>
      </c>
      <c r="S13" s="7"/>
      <c r="T13" s="7"/>
      <c r="U13" s="7"/>
      <c r="V13" s="7"/>
      <c r="W13" s="7"/>
      <c r="X13" s="7"/>
      <c r="Y13" s="7"/>
      <c r="Z13" s="7"/>
      <c r="AA13" s="7"/>
      <c r="AB13" s="6"/>
      <c r="AG13" t="str">
        <f t="shared" si="0"/>
        <v>PRUŽINY NAD PŘEKLADEM</v>
      </c>
      <c r="AH13" t="s">
        <v>94</v>
      </c>
      <c r="AI13" t="s">
        <v>95</v>
      </c>
      <c r="AJ13" t="s">
        <v>96</v>
      </c>
      <c r="AK13" t="s">
        <v>97</v>
      </c>
      <c r="AL13" t="s">
        <v>98</v>
      </c>
      <c r="AM13" t="s">
        <v>99</v>
      </c>
      <c r="AN13" t="s">
        <v>100</v>
      </c>
      <c r="AO13" t="s">
        <v>101</v>
      </c>
      <c r="AP13" t="s">
        <v>102</v>
      </c>
    </row>
    <row r="14" spans="1:98" x14ac:dyDescent="0.25">
      <c r="B14" s="51"/>
      <c r="C14" s="46"/>
      <c r="D14" s="46"/>
      <c r="E14" s="46"/>
      <c r="F14" s="46"/>
      <c r="G14" s="46"/>
      <c r="H14" s="7"/>
      <c r="I14" s="7"/>
      <c r="J14" s="7"/>
      <c r="K14" s="7"/>
      <c r="L14" s="7"/>
      <c r="M14" s="7"/>
      <c r="N14" s="7"/>
      <c r="O14" s="7"/>
      <c r="T14" s="7"/>
      <c r="U14" s="7"/>
      <c r="V14" s="7"/>
      <c r="W14" s="7"/>
      <c r="X14" s="7"/>
      <c r="Y14" s="7"/>
      <c r="Z14" s="7"/>
      <c r="AA14" s="7"/>
      <c r="AB14" s="6"/>
      <c r="AG14" t="str">
        <f t="shared" si="0"/>
        <v>pro HL&gt;600 a HL&lt;=1200</v>
      </c>
      <c r="AH14" t="s">
        <v>103</v>
      </c>
      <c r="AI14" t="s">
        <v>104</v>
      </c>
      <c r="AJ14" t="s">
        <v>105</v>
      </c>
      <c r="AK14" t="s">
        <v>106</v>
      </c>
      <c r="AL14" t="s">
        <v>107</v>
      </c>
      <c r="AM14" t="s">
        <v>108</v>
      </c>
      <c r="AN14" t="s">
        <v>109</v>
      </c>
      <c r="AO14" t="s">
        <v>110</v>
      </c>
      <c r="AP14" t="s">
        <v>111</v>
      </c>
    </row>
    <row r="15" spans="1:98" ht="15" customHeight="1" x14ac:dyDescent="0.3">
      <c r="B15" s="51"/>
      <c r="C15" s="56">
        <f>IF($K$13="2""",100,120)</f>
        <v>120</v>
      </c>
      <c r="D15" s="46"/>
      <c r="E15" s="46"/>
      <c r="F15" s="46"/>
      <c r="G15" s="46"/>
      <c r="I15" s="57"/>
      <c r="J15" s="7"/>
      <c r="K15" s="58" t="str">
        <f>IF(OR(K13=AG122,K13=AG123),"W&gt;7500 mm =&gt; 3'","")</f>
        <v/>
      </c>
      <c r="L15" s="7"/>
      <c r="M15" s="7"/>
      <c r="N15" s="7"/>
      <c r="O15" s="7"/>
      <c r="P15" s="7"/>
      <c r="S15" s="49" t="str">
        <f>IF($K$5="","","Y2=")</f>
        <v/>
      </c>
      <c r="T15" s="59" t="str">
        <f>IF($K$5="","",IF($Q$11&gt;=4500,$Q$12/3,0))</f>
        <v/>
      </c>
      <c r="V15" s="7"/>
      <c r="W15" s="7"/>
      <c r="X15" s="7"/>
      <c r="Y15" s="7"/>
      <c r="Z15" s="7"/>
      <c r="AA15" s="7"/>
      <c r="AB15" s="6"/>
      <c r="AG15" t="str">
        <f t="shared" si="0"/>
        <v>PANEL 40mm</v>
      </c>
      <c r="AH15" t="s">
        <v>112</v>
      </c>
      <c r="AI15" t="s">
        <v>113</v>
      </c>
      <c r="AJ15" t="s">
        <v>114</v>
      </c>
      <c r="AK15" t="s">
        <v>115</v>
      </c>
      <c r="AL15" t="s">
        <v>116</v>
      </c>
      <c r="AM15" t="s">
        <v>117</v>
      </c>
      <c r="AN15" t="s">
        <v>114</v>
      </c>
      <c r="AO15" t="s">
        <v>118</v>
      </c>
      <c r="AP15" t="s">
        <v>119</v>
      </c>
    </row>
    <row r="16" spans="1:98" ht="15" customHeight="1" x14ac:dyDescent="0.3">
      <c r="B16" s="51"/>
      <c r="C16" s="56"/>
      <c r="D16" s="46"/>
      <c r="E16" s="46"/>
      <c r="F16" s="46"/>
      <c r="G16" s="46"/>
      <c r="H16" s="57"/>
      <c r="I16" s="57"/>
      <c r="J16" s="7"/>
      <c r="K16" s="58" t="str">
        <f>IF(OR(K13=AG122,K13=AG123),"H&gt; 4500 mm &amp;W&gt;6500 mm =&gt; 3'","")</f>
        <v/>
      </c>
      <c r="L16" s="7"/>
      <c r="M16" s="7"/>
      <c r="N16" s="7"/>
      <c r="O16" s="7"/>
      <c r="P16" s="7"/>
      <c r="Q16" s="7"/>
      <c r="R16" s="60"/>
      <c r="S16" s="60"/>
      <c r="T16" s="7"/>
      <c r="U16" s="7"/>
      <c r="V16" s="7"/>
      <c r="W16" s="7"/>
      <c r="X16" s="7"/>
      <c r="Y16" s="7"/>
      <c r="Z16" s="7"/>
      <c r="AA16" s="7"/>
      <c r="AB16" s="6"/>
      <c r="AG16" t="str">
        <f t="shared" si="0"/>
        <v>Max. W x H 4000x4000</v>
      </c>
      <c r="AH16" t="s">
        <v>120</v>
      </c>
      <c r="AI16" t="s">
        <v>120</v>
      </c>
      <c r="AJ16" t="s">
        <v>120</v>
      </c>
      <c r="AK16" t="s">
        <v>120</v>
      </c>
      <c r="AL16" t="s">
        <v>120</v>
      </c>
      <c r="AM16" t="s">
        <v>121</v>
      </c>
      <c r="AN16" t="s">
        <v>120</v>
      </c>
      <c r="AO16" t="s">
        <v>120</v>
      </c>
      <c r="AP16" t="s">
        <v>122</v>
      </c>
    </row>
    <row r="17" spans="1:42" ht="15" customHeight="1" x14ac:dyDescent="0.25">
      <c r="A17" s="6"/>
      <c r="B17" s="61"/>
      <c r="C17" s="62"/>
      <c r="D17" s="46"/>
      <c r="E17" s="46"/>
      <c r="F17" s="46"/>
      <c r="G17" s="46"/>
      <c r="H17" s="63"/>
      <c r="I17" s="57"/>
      <c r="J17" s="7"/>
      <c r="K17" s="7"/>
      <c r="L17" s="7"/>
      <c r="M17" s="7"/>
      <c r="N17" s="7"/>
      <c r="O17" s="7"/>
      <c r="P17" s="7"/>
      <c r="T17" s="7"/>
      <c r="U17" s="7"/>
      <c r="V17" s="7"/>
      <c r="W17" s="7"/>
      <c r="X17" s="7"/>
      <c r="Y17" s="7"/>
      <c r="Z17" s="7"/>
      <c r="AA17" s="7"/>
      <c r="AB17" s="6"/>
      <c r="AN17"/>
      <c r="AO17"/>
      <c r="AP17"/>
    </row>
    <row r="18" spans="1:42" x14ac:dyDescent="0.25">
      <c r="A18" s="6"/>
      <c r="B18" s="61"/>
      <c r="C18" s="64"/>
      <c r="D18" s="46"/>
      <c r="E18" s="46"/>
      <c r="F18" s="46"/>
      <c r="G18" s="46"/>
      <c r="H18" s="63"/>
      <c r="I18" s="57"/>
      <c r="J18" s="7"/>
      <c r="K18" s="7"/>
      <c r="L18" s="7"/>
      <c r="N18" s="65"/>
      <c r="O18" s="66"/>
      <c r="P18" s="7"/>
      <c r="Q18" s="7"/>
      <c r="R18" s="7"/>
      <c r="S18" s="67" t="str">
        <f>"HL= "&amp;P59</f>
        <v>HL= -270</v>
      </c>
      <c r="T18" s="68"/>
      <c r="U18" s="69" t="str">
        <f>"F= "&amp;IF($K$3="","",$P$56)</f>
        <v xml:space="preserve">F= </v>
      </c>
      <c r="V18" s="7"/>
      <c r="W18" s="7"/>
      <c r="X18" s="7"/>
      <c r="Y18" s="7"/>
      <c r="Z18" s="7"/>
      <c r="AA18" s="7"/>
      <c r="AB18" s="6"/>
      <c r="AN18"/>
      <c r="AO18"/>
      <c r="AP18"/>
    </row>
    <row r="19" spans="1:42" ht="29.25" customHeight="1" x14ac:dyDescent="0.25">
      <c r="B19" s="70" t="str">
        <f>IF(K3="","",P56)</f>
        <v/>
      </c>
      <c r="C19" s="71" t="str">
        <f>P64</f>
        <v/>
      </c>
      <c r="D19" s="72"/>
      <c r="E19" s="46"/>
      <c r="F19" s="46"/>
      <c r="G19" s="46"/>
      <c r="H19" s="7"/>
      <c r="I19" s="7" t="str">
        <f>AG36</f>
        <v>MONTÁŽNÍ PLOCHA PRO MOTOR ( L nebo R )</v>
      </c>
      <c r="J19" s="7"/>
      <c r="K19" s="7"/>
      <c r="L19" s="7"/>
      <c r="M19" s="65"/>
      <c r="N19" s="73"/>
      <c r="O19" s="74"/>
      <c r="P19" s="7"/>
      <c r="Q19" s="7"/>
      <c r="R19" s="7"/>
      <c r="S19" s="67"/>
      <c r="T19" s="75" t="str">
        <f>"A= "&amp;$P$64</f>
        <v xml:space="preserve">A= </v>
      </c>
      <c r="U19" s="69"/>
      <c r="V19" s="7"/>
      <c r="W19" s="7"/>
      <c r="X19" s="7"/>
      <c r="Y19" s="7"/>
      <c r="Z19" s="7"/>
      <c r="AA19" s="7"/>
      <c r="AB19" s="6"/>
      <c r="AN19"/>
      <c r="AO19"/>
      <c r="AP19"/>
    </row>
    <row r="20" spans="1:42" x14ac:dyDescent="0.25">
      <c r="B20" s="70"/>
      <c r="C20" s="71"/>
      <c r="D20" s="72"/>
      <c r="E20" s="46"/>
      <c r="F20" s="46"/>
      <c r="G20" s="46"/>
      <c r="H20" s="76"/>
      <c r="I20" s="77"/>
      <c r="J20" s="7"/>
      <c r="K20" s="7"/>
      <c r="L20" s="7"/>
      <c r="M20" s="7"/>
      <c r="N20" s="7"/>
      <c r="O20" s="7"/>
      <c r="P20" s="7"/>
      <c r="Q20" s="7"/>
      <c r="R20" s="7"/>
      <c r="S20" s="67"/>
      <c r="T20" s="75"/>
      <c r="U20" s="69"/>
      <c r="V20" s="7"/>
      <c r="W20" s="7"/>
      <c r="X20" s="7"/>
      <c r="Y20" s="7"/>
      <c r="Z20" s="7"/>
      <c r="AA20" s="7"/>
      <c r="AB20" s="6"/>
      <c r="AG20" t="str">
        <f t="shared" si="0"/>
        <v>Montáž na cihlové zdivo</v>
      </c>
      <c r="AH20" t="s">
        <v>123</v>
      </c>
      <c r="AI20" t="s">
        <v>124</v>
      </c>
      <c r="AJ20" t="s">
        <v>125</v>
      </c>
      <c r="AK20" t="s">
        <v>126</v>
      </c>
      <c r="AL20" t="s">
        <v>127</v>
      </c>
      <c r="AM20" t="s">
        <v>128</v>
      </c>
      <c r="AN20" t="s">
        <v>129</v>
      </c>
      <c r="AO20" t="s">
        <v>130</v>
      </c>
      <c r="AP20" t="s">
        <v>131</v>
      </c>
    </row>
    <row r="21" spans="1:42" ht="15.75" customHeight="1" x14ac:dyDescent="0.25">
      <c r="B21" s="78" t="s">
        <v>132</v>
      </c>
      <c r="C21" s="79" t="s">
        <v>133</v>
      </c>
      <c r="D21" s="72"/>
      <c r="E21" s="46"/>
      <c r="F21" s="46"/>
      <c r="G21" s="46"/>
      <c r="H21" s="76"/>
      <c r="I21" s="31" t="str">
        <f>VLOOKUP(AG48,AG2:AR96,$AE$1+1,FALSE)</f>
        <v>nezbytný boční prostor pro motor nebo řetězový pohon ( L nebo R )</v>
      </c>
      <c r="J21" s="7"/>
      <c r="K21" s="7"/>
      <c r="L21" s="7"/>
      <c r="M21" s="7"/>
      <c r="N21" s="7"/>
      <c r="O21" s="7"/>
      <c r="P21" s="7"/>
      <c r="Q21" s="7"/>
      <c r="R21" s="7"/>
      <c r="S21" s="67"/>
      <c r="T21" s="7"/>
      <c r="U21" s="7"/>
      <c r="X21" s="7"/>
      <c r="Y21" s="31" t="str">
        <f>VLOOKUP(AG20,AG2:AR96,$AE$1+1,FALSE)</f>
        <v>Montáž na cihlové zdivo</v>
      </c>
      <c r="Z21" s="31"/>
      <c r="AA21" s="7"/>
      <c r="AB21" s="6"/>
      <c r="AG21" t="str">
        <f t="shared" si="0"/>
        <v>Montáž na porobeton</v>
      </c>
      <c r="AH21" t="s">
        <v>134</v>
      </c>
      <c r="AI21" t="s">
        <v>135</v>
      </c>
      <c r="AJ21" t="s">
        <v>136</v>
      </c>
      <c r="AK21" t="s">
        <v>137</v>
      </c>
      <c r="AL21" t="s">
        <v>138</v>
      </c>
      <c r="AM21" t="s">
        <v>139</v>
      </c>
      <c r="AN21" t="s">
        <v>140</v>
      </c>
      <c r="AO21" t="s">
        <v>141</v>
      </c>
      <c r="AP21" t="s">
        <v>142</v>
      </c>
    </row>
    <row r="22" spans="1:42" ht="15.75" x14ac:dyDescent="0.25">
      <c r="B22" s="78"/>
      <c r="C22" s="79"/>
      <c r="D22" s="46"/>
      <c r="E22" s="46"/>
      <c r="F22" s="46"/>
      <c r="G22" s="46"/>
      <c r="H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0"/>
      <c r="U22" s="81"/>
      <c r="X22" s="7"/>
      <c r="Y22" s="31"/>
      <c r="Z22" s="31"/>
      <c r="AA22" s="7"/>
      <c r="AB22" s="6"/>
      <c r="AG22" t="str">
        <f t="shared" si="0"/>
        <v>Montáž na opláštění</v>
      </c>
      <c r="AH22" t="s">
        <v>143</v>
      </c>
      <c r="AI22" t="s">
        <v>144</v>
      </c>
      <c r="AJ22" t="s">
        <v>145</v>
      </c>
      <c r="AK22" t="s">
        <v>146</v>
      </c>
      <c r="AL22" t="s">
        <v>147</v>
      </c>
      <c r="AM22" t="s">
        <v>148</v>
      </c>
      <c r="AN22" t="s">
        <v>149</v>
      </c>
      <c r="AO22" t="s">
        <v>150</v>
      </c>
      <c r="AP22" t="s">
        <v>151</v>
      </c>
    </row>
    <row r="23" spans="1:42" ht="15.75" customHeight="1" x14ac:dyDescent="0.25">
      <c r="A23" s="6"/>
      <c r="B23" s="61"/>
      <c r="C23" s="46"/>
      <c r="D23" s="46"/>
      <c r="E23" s="46"/>
      <c r="F23" s="46"/>
      <c r="G23" s="46"/>
      <c r="H23" s="7"/>
      <c r="I23" s="82"/>
      <c r="J23" s="82"/>
      <c r="K23" s="82"/>
      <c r="O23" s="7"/>
      <c r="P23" s="7"/>
      <c r="Q23" s="7"/>
      <c r="R23" s="7"/>
      <c r="S23" s="7"/>
      <c r="T23" s="80"/>
      <c r="X23" s="7"/>
      <c r="Y23" s="31"/>
      <c r="Z23" s="31"/>
      <c r="AA23" s="7"/>
      <c r="AB23" s="6"/>
      <c r="AJ23" t="s">
        <v>145</v>
      </c>
      <c r="AN23"/>
      <c r="AO23"/>
      <c r="AP23"/>
    </row>
    <row r="24" spans="1:42" ht="15.75" customHeight="1" x14ac:dyDescent="0.25">
      <c r="A24" s="6"/>
      <c r="B24" s="61"/>
      <c r="C24" s="72"/>
      <c r="D24" s="46"/>
      <c r="E24" s="46"/>
      <c r="F24" s="46"/>
      <c r="G24" s="46"/>
      <c r="H24" s="7"/>
      <c r="I24" s="82"/>
      <c r="J24" s="82"/>
      <c r="K24" s="82"/>
      <c r="O24" s="7"/>
      <c r="P24" s="7"/>
      <c r="Q24" s="7"/>
      <c r="R24" s="7"/>
      <c r="S24" s="7"/>
      <c r="T24" s="83"/>
      <c r="X24" s="7"/>
      <c r="Y24" s="31"/>
      <c r="Z24" s="31"/>
      <c r="AA24" s="7"/>
      <c r="AB24" s="6"/>
      <c r="AN24"/>
      <c r="AO24"/>
      <c r="AP24"/>
    </row>
    <row r="25" spans="1:42" ht="15.75" x14ac:dyDescent="0.25">
      <c r="A25" s="6"/>
      <c r="B25" s="61"/>
      <c r="C25" s="72"/>
      <c r="D25" s="46"/>
      <c r="E25" s="46"/>
      <c r="F25" s="46"/>
      <c r="G25" s="46"/>
      <c r="H25" s="7"/>
      <c r="J25" s="84"/>
      <c r="K25" s="31"/>
      <c r="L25" s="31"/>
      <c r="M25" s="31"/>
      <c r="N25" s="31"/>
      <c r="O25" s="31"/>
      <c r="P25" s="31"/>
      <c r="Q25" s="31"/>
      <c r="R25" s="7"/>
      <c r="S25" s="7"/>
      <c r="T25" s="83"/>
      <c r="X25" s="7"/>
      <c r="Y25" s="31"/>
      <c r="Z25" s="31"/>
      <c r="AA25" s="7"/>
      <c r="AB25" s="6"/>
      <c r="AG25" t="str">
        <f t="shared" si="0"/>
        <v>PRÁCE, KTERÉ MUSÍ BÝT PROVEDENY ZÁKAZNÍKEM PŘED MONTÁŽÍ, POKUD NEBYLO DOHODNUTO JINAK</v>
      </c>
      <c r="AH25" t="s">
        <v>152</v>
      </c>
      <c r="AI25" t="s">
        <v>153</v>
      </c>
      <c r="AJ25" t="s">
        <v>154</v>
      </c>
      <c r="AK25" t="s">
        <v>155</v>
      </c>
      <c r="AL25" t="s">
        <v>156</v>
      </c>
      <c r="AM25" t="s">
        <v>157</v>
      </c>
      <c r="AN25" t="s">
        <v>158</v>
      </c>
      <c r="AO25" t="s">
        <v>159</v>
      </c>
      <c r="AP25" t="s">
        <v>160</v>
      </c>
    </row>
    <row r="26" spans="1:42" ht="15.75" customHeight="1" x14ac:dyDescent="0.25">
      <c r="A26" s="6"/>
      <c r="B26" s="61"/>
      <c r="C26" s="72"/>
      <c r="D26" s="46"/>
      <c r="E26" s="46"/>
      <c r="F26" s="46"/>
      <c r="G26" s="46"/>
      <c r="H26" s="85"/>
      <c r="I26" s="31" t="str">
        <f>$AG$37</f>
        <v>NEZBYTNÝ VOLNÝ PROSTOR</v>
      </c>
      <c r="J26" s="84"/>
      <c r="K26" s="31"/>
      <c r="L26" s="31"/>
      <c r="M26" s="31"/>
      <c r="N26" s="31"/>
      <c r="O26" s="31"/>
      <c r="P26" s="31"/>
      <c r="Q26" s="31"/>
      <c r="R26" s="7"/>
      <c r="S26" s="7"/>
      <c r="T26" s="67"/>
      <c r="U26" s="71" t="str">
        <f>IF($K$5="","",$K$5)</f>
        <v/>
      </c>
      <c r="Y26" s="31" t="str">
        <f>VLOOKUP(AG21,AG2:AR96,$AE$1+1,FALSE)</f>
        <v>Montáž na porobeton</v>
      </c>
      <c r="Z26" s="84"/>
      <c r="AA26" s="7"/>
      <c r="AB26" s="6"/>
      <c r="AG26" t="str">
        <f t="shared" si="0"/>
        <v>Konstrukční:</v>
      </c>
      <c r="AH26" t="s">
        <v>161</v>
      </c>
      <c r="AI26" t="s">
        <v>162</v>
      </c>
      <c r="AJ26" t="s">
        <v>163</v>
      </c>
      <c r="AK26" t="s">
        <v>164</v>
      </c>
      <c r="AL26" t="s">
        <v>165</v>
      </c>
      <c r="AM26" t="s">
        <v>166</v>
      </c>
      <c r="AN26" t="s">
        <v>167</v>
      </c>
      <c r="AO26" t="s">
        <v>168</v>
      </c>
      <c r="AP26" t="s">
        <v>169</v>
      </c>
    </row>
    <row r="27" spans="1:42" ht="15.75" customHeight="1" x14ac:dyDescent="0.25">
      <c r="B27" s="86" t="str">
        <f>"H="&amp;$K$5</f>
        <v>H=</v>
      </c>
      <c r="C27" s="46"/>
      <c r="D27" s="46"/>
      <c r="E27" s="46"/>
      <c r="F27" s="46"/>
      <c r="G27" s="46"/>
      <c r="H27" s="87"/>
      <c r="I27" s="88" t="str">
        <f>VLOOKUP($AG$50,$AG$2:$AR$96,$AE$1+1,FALSE)</f>
        <v>osa cca 1.400 až 1.500 mm od podlahy</v>
      </c>
      <c r="J27" s="88"/>
      <c r="K27" s="88"/>
      <c r="L27" s="31"/>
      <c r="M27" s="31"/>
      <c r="N27" s="31"/>
      <c r="O27" s="31"/>
      <c r="P27" s="31"/>
      <c r="Q27" s="31"/>
      <c r="R27" s="7"/>
      <c r="S27" s="7"/>
      <c r="T27" s="67"/>
      <c r="U27" s="71"/>
      <c r="Y27" s="31"/>
      <c r="Z27" s="84"/>
      <c r="AA27" s="7"/>
      <c r="AB27" s="6"/>
      <c r="AG27" t="str">
        <f t="shared" si="0"/>
        <v>Příprava montážních ploch pro vedení vrat a pro pružiny.</v>
      </c>
      <c r="AH27" t="s">
        <v>170</v>
      </c>
      <c r="AI27" t="s">
        <v>171</v>
      </c>
      <c r="AJ27" t="s">
        <v>172</v>
      </c>
      <c r="AK27" t="s">
        <v>173</v>
      </c>
      <c r="AL27" t="s">
        <v>174</v>
      </c>
      <c r="AM27" t="s">
        <v>175</v>
      </c>
      <c r="AN27" t="s">
        <v>176</v>
      </c>
      <c r="AO27" t="s">
        <v>177</v>
      </c>
      <c r="AP27" t="s">
        <v>178</v>
      </c>
    </row>
    <row r="28" spans="1:42" ht="29.25" customHeight="1" x14ac:dyDescent="0.25">
      <c r="B28" s="86"/>
      <c r="C28" s="89"/>
      <c r="D28" s="46"/>
      <c r="E28" s="46"/>
      <c r="F28" s="46"/>
      <c r="G28" s="46"/>
      <c r="H28" s="90"/>
      <c r="I28" s="88"/>
      <c r="J28" s="88"/>
      <c r="K28" s="88"/>
      <c r="L28" s="31"/>
      <c r="M28" s="31"/>
      <c r="N28" s="31"/>
      <c r="O28" s="31"/>
      <c r="P28" s="31"/>
      <c r="Q28" s="31"/>
      <c r="R28" s="7"/>
      <c r="S28" s="7"/>
      <c r="T28" s="7"/>
      <c r="U28" s="91" t="s">
        <v>179</v>
      </c>
      <c r="Y28" s="31"/>
      <c r="Z28" s="84"/>
      <c r="AA28" s="7"/>
      <c r="AB28" s="6"/>
      <c r="AG28" t="str">
        <f t="shared" si="0"/>
        <v>Montáž vodorovného vedení může být max. 1 metr od pevné konstrukce.</v>
      </c>
      <c r="AH28" t="s">
        <v>180</v>
      </c>
      <c r="AI28" t="s">
        <v>181</v>
      </c>
      <c r="AJ28" t="s">
        <v>182</v>
      </c>
      <c r="AK28" t="s">
        <v>183</v>
      </c>
      <c r="AL28" t="s">
        <v>184</v>
      </c>
      <c r="AM28" t="s">
        <v>185</v>
      </c>
      <c r="AN28" t="s">
        <v>186</v>
      </c>
      <c r="AO28" t="s">
        <v>187</v>
      </c>
      <c r="AP28" t="s">
        <v>188</v>
      </c>
    </row>
    <row r="29" spans="1:42" ht="15.75" x14ac:dyDescent="0.25">
      <c r="B29" s="86"/>
      <c r="C29" s="50"/>
      <c r="D29" s="46"/>
      <c r="E29" s="92"/>
      <c r="F29" s="93"/>
      <c r="G29" s="93"/>
      <c r="H29" s="90"/>
      <c r="I29" s="31" t="str">
        <f>VLOOKUP($AG$49,$AG$2:$AR$96,$AE$1+1,FALSE)</f>
        <v>montážní plocha pro řídící jednotku motoru, rozměr 250 x 400 mm</v>
      </c>
      <c r="J29" s="84"/>
      <c r="K29" s="31"/>
      <c r="L29" s="31"/>
      <c r="M29" s="31"/>
      <c r="N29" s="31"/>
      <c r="O29" s="31"/>
      <c r="P29" s="31"/>
      <c r="Q29" s="31"/>
      <c r="R29" s="94"/>
      <c r="S29" s="94"/>
      <c r="T29" s="7"/>
      <c r="U29" s="7"/>
      <c r="Y29" s="31"/>
      <c r="Z29" s="84"/>
      <c r="AA29" s="7"/>
      <c r="AB29" s="6"/>
      <c r="AG29" t="str">
        <f t="shared" si="0"/>
        <v>Nezbytné montážní plochy a volný prostor dle nákresu.</v>
      </c>
      <c r="AH29" t="s">
        <v>189</v>
      </c>
      <c r="AI29" t="s">
        <v>190</v>
      </c>
      <c r="AJ29" t="s">
        <v>191</v>
      </c>
      <c r="AK29" t="s">
        <v>192</v>
      </c>
      <c r="AL29" t="s">
        <v>193</v>
      </c>
      <c r="AN29" t="s">
        <v>194</v>
      </c>
      <c r="AO29" t="s">
        <v>195</v>
      </c>
      <c r="AP29" t="s">
        <v>196</v>
      </c>
    </row>
    <row r="30" spans="1:42" ht="17.25" customHeight="1" x14ac:dyDescent="0.25">
      <c r="B30" s="86"/>
      <c r="C30" s="46"/>
      <c r="D30" s="46"/>
      <c r="E30" s="46"/>
      <c r="F30" s="46"/>
      <c r="G30" s="46"/>
      <c r="I30" s="31" t="str">
        <f>VLOOKUP($AG$51,$AG$3:$AR$97,$AE$1+1,FALSE)</f>
        <v>zásuvka CEE 16 A, 5P, 400 V, jištěno 6 A (10 A) jističem, proudový chránič I=30 mA</v>
      </c>
      <c r="L30" s="95"/>
      <c r="M30" s="95"/>
      <c r="N30" s="95"/>
      <c r="O30" s="95"/>
      <c r="P30" s="95"/>
      <c r="Q30" s="95"/>
      <c r="R30" s="7"/>
      <c r="S30" s="7"/>
      <c r="T30" s="7"/>
      <c r="U30" s="7"/>
      <c r="Y30" s="31"/>
      <c r="Z30" s="84"/>
      <c r="AA30" s="7"/>
      <c r="AB30" s="6"/>
      <c r="AG30" t="str">
        <f t="shared" si="0"/>
        <v xml:space="preserve">Elekrická příprava (pro elektricky ovládaná sekční vrata): </v>
      </c>
      <c r="AH30" t="s">
        <v>197</v>
      </c>
      <c r="AI30" t="s">
        <v>198</v>
      </c>
      <c r="AJ30" t="s">
        <v>199</v>
      </c>
      <c r="AK30" t="s">
        <v>200</v>
      </c>
      <c r="AL30" t="s">
        <v>201</v>
      </c>
      <c r="AM30" t="s">
        <v>202</v>
      </c>
      <c r="AN30" t="s">
        <v>203</v>
      </c>
      <c r="AO30" t="s">
        <v>204</v>
      </c>
      <c r="AP30" t="s">
        <v>205</v>
      </c>
    </row>
    <row r="31" spans="1:42" ht="15.75" customHeight="1" x14ac:dyDescent="0.25">
      <c r="B31" s="96"/>
      <c r="C31" s="97"/>
      <c r="D31" s="49"/>
      <c r="E31" s="50"/>
      <c r="F31" s="98"/>
      <c r="G31" s="99"/>
      <c r="H31" s="54"/>
      <c r="J31" s="77"/>
      <c r="K31" s="95"/>
      <c r="L31" s="95"/>
      <c r="M31" s="95"/>
      <c r="N31" s="95"/>
      <c r="O31" s="95"/>
      <c r="P31" s="95"/>
      <c r="Q31" s="95"/>
      <c r="T31" s="7"/>
      <c r="U31" s="7"/>
      <c r="Y31" s="100" t="str">
        <f>VLOOKUP(AG22,AG2:AR96,$AE$1+1,FALSE)</f>
        <v>Montáž na opláštění</v>
      </c>
      <c r="Z31" s="100"/>
      <c r="AA31" s="100"/>
      <c r="AB31" s="6"/>
      <c r="AG31" t="str">
        <f t="shared" si="0"/>
        <v>Zásuvka CEE 16 A, 5P, 400 V = zásuvka s nulovým a zemnícím vodičem</v>
      </c>
      <c r="AH31" t="s">
        <v>206</v>
      </c>
      <c r="AI31" t="s">
        <v>207</v>
      </c>
      <c r="AJ31" t="s">
        <v>208</v>
      </c>
      <c r="AK31" t="s">
        <v>209</v>
      </c>
      <c r="AL31" t="s">
        <v>210</v>
      </c>
      <c r="AM31" t="s">
        <v>211</v>
      </c>
      <c r="AN31" t="s">
        <v>212</v>
      </c>
      <c r="AO31" t="s">
        <v>213</v>
      </c>
      <c r="AP31" t="s">
        <v>214</v>
      </c>
    </row>
    <row r="32" spans="1:42" ht="15.75" customHeight="1" x14ac:dyDescent="0.25">
      <c r="B32" s="51"/>
      <c r="C32" s="101">
        <f>IF(K9=AG102,125,IF(AND(K9=AG103,R9=AG107),375,IF(AND(K9=AG104,R9=AG107),375,125)))</f>
        <v>125</v>
      </c>
      <c r="D32" s="46"/>
      <c r="E32" s="46"/>
      <c r="F32" s="46"/>
      <c r="G32" s="46"/>
      <c r="H32" s="7"/>
      <c r="I32" s="102">
        <f>IF(K9=AG102,125,IF(AND(K9=AG103,R9=AG108),375,IF(AND(K9=AG104,R9=AG108),375,125)))</f>
        <v>125</v>
      </c>
      <c r="R32" s="7"/>
      <c r="S32" s="7"/>
      <c r="T32" s="7"/>
      <c r="U32" s="7"/>
      <c r="Y32" s="100"/>
      <c r="Z32" s="100"/>
      <c r="AA32" s="100"/>
      <c r="AB32" s="6"/>
      <c r="AG32" t="str">
        <f t="shared" si="0"/>
        <v>Zajistit vhodnou montážní plochu pro řídící jednotku motoru 250 x 400 mm</v>
      </c>
      <c r="AH32" t="s">
        <v>215</v>
      </c>
      <c r="AI32" t="s">
        <v>216</v>
      </c>
      <c r="AJ32" t="s">
        <v>217</v>
      </c>
      <c r="AK32" t="s">
        <v>218</v>
      </c>
      <c r="AL32" t="s">
        <v>219</v>
      </c>
      <c r="AM32" t="s">
        <v>220</v>
      </c>
      <c r="AN32" t="s">
        <v>221</v>
      </c>
      <c r="AO32" t="s">
        <v>222</v>
      </c>
      <c r="AP32" t="s">
        <v>223</v>
      </c>
    </row>
    <row r="33" spans="1:42" x14ac:dyDescent="0.25">
      <c r="B33" s="51"/>
      <c r="C33" s="46"/>
      <c r="D33" s="46"/>
      <c r="E33" s="46"/>
      <c r="F33" s="46"/>
      <c r="G33" s="46"/>
      <c r="H33" s="50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AA33" s="7"/>
      <c r="AB33" s="6"/>
      <c r="AN33"/>
      <c r="AO33"/>
      <c r="AP33"/>
    </row>
    <row r="34" spans="1:42" x14ac:dyDescent="0.25">
      <c r="A34" s="6"/>
      <c r="B34" s="46"/>
      <c r="C34" s="46"/>
      <c r="D34" s="46"/>
      <c r="E34" s="46"/>
      <c r="F34" s="46"/>
      <c r="G34" s="46"/>
      <c r="I34" s="54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AA34" s="7"/>
      <c r="AB34" s="6"/>
      <c r="AN34"/>
      <c r="AO34"/>
      <c r="AP34"/>
    </row>
    <row r="35" spans="1:42" x14ac:dyDescent="0.25">
      <c r="A35" s="6"/>
      <c r="B35" s="61"/>
      <c r="C35" s="98">
        <f>IF($K$13="2""",80,100)</f>
        <v>100</v>
      </c>
      <c r="D35" s="61"/>
      <c r="E35" s="61"/>
      <c r="F35" s="98"/>
      <c r="G35" s="103">
        <f>IF($K$13="2""",80,100)</f>
        <v>100</v>
      </c>
      <c r="J35" s="7"/>
      <c r="K35" s="7"/>
      <c r="L35" s="7"/>
      <c r="M35" s="7"/>
      <c r="N35" s="7"/>
      <c r="O35" s="7"/>
      <c r="P35" s="7"/>
      <c r="Q35" s="7"/>
      <c r="R35" s="104">
        <f>IF($K$11=$AG$117,290,250)</f>
        <v>250</v>
      </c>
      <c r="S35" s="81"/>
      <c r="T35" s="7"/>
      <c r="U35" s="7"/>
      <c r="V35" s="7"/>
      <c r="W35" s="7"/>
      <c r="AA35" s="7"/>
      <c r="AB35" s="6"/>
      <c r="AG35" t="str">
        <f t="shared" si="0"/>
        <v>NEZBYTNÁ MONTÁŽNÍ PLOCHA</v>
      </c>
      <c r="AH35" t="s">
        <v>224</v>
      </c>
      <c r="AI35" t="s">
        <v>225</v>
      </c>
      <c r="AJ35" t="s">
        <v>226</v>
      </c>
      <c r="AK35" t="s">
        <v>227</v>
      </c>
      <c r="AL35" t="s">
        <v>228</v>
      </c>
      <c r="AM35" t="s">
        <v>229</v>
      </c>
      <c r="AN35" t="s">
        <v>230</v>
      </c>
      <c r="AO35" t="s">
        <v>231</v>
      </c>
      <c r="AP35" t="s">
        <v>232</v>
      </c>
    </row>
    <row r="36" spans="1:42" x14ac:dyDescent="0.25">
      <c r="A36" s="6"/>
      <c r="B36" s="46"/>
      <c r="C36" s="61"/>
      <c r="D36" s="61"/>
      <c r="E36" s="61"/>
      <c r="F36" s="61"/>
      <c r="G36" s="61"/>
      <c r="J36" s="7"/>
      <c r="K36" s="7"/>
      <c r="L36" s="7"/>
      <c r="M36" s="7"/>
      <c r="N36" s="7"/>
      <c r="O36" s="7"/>
      <c r="P36" s="7"/>
      <c r="Q36" s="7"/>
      <c r="R36" s="104"/>
      <c r="S36" s="7"/>
      <c r="T36" s="7"/>
      <c r="U36" s="7"/>
      <c r="V36" s="7"/>
      <c r="W36" s="7"/>
      <c r="AA36" s="7"/>
      <c r="AB36" s="6"/>
      <c r="AG36" t="str">
        <f t="shared" si="0"/>
        <v>MONTÁŽNÍ PLOCHA PRO MOTOR ( L nebo R )</v>
      </c>
      <c r="AH36" t="s">
        <v>233</v>
      </c>
      <c r="AI36" t="s">
        <v>234</v>
      </c>
      <c r="AJ36" t="s">
        <v>235</v>
      </c>
      <c r="AK36" t="s">
        <v>236</v>
      </c>
      <c r="AL36" t="s">
        <v>237</v>
      </c>
      <c r="AM36" t="s">
        <v>238</v>
      </c>
      <c r="AN36" t="s">
        <v>239</v>
      </c>
      <c r="AO36" t="s">
        <v>240</v>
      </c>
      <c r="AP36" t="s">
        <v>241</v>
      </c>
    </row>
    <row r="37" spans="1:42" ht="15.75" x14ac:dyDescent="0.25">
      <c r="A37" s="6"/>
      <c r="B37" s="49" t="s">
        <v>242</v>
      </c>
      <c r="C37" s="97">
        <f>IF($K$13=$AG$123,$C$32+25,$C$32)</f>
        <v>125</v>
      </c>
      <c r="D37" s="49" t="s">
        <v>243</v>
      </c>
      <c r="E37" s="50">
        <f>$K$3</f>
        <v>0</v>
      </c>
      <c r="F37" s="46"/>
      <c r="G37" s="46"/>
      <c r="H37" s="105">
        <f>IF($K$13=$AG$123,$I$32+25,$I$32)</f>
        <v>125</v>
      </c>
      <c r="I37" s="105"/>
      <c r="J37" s="7"/>
      <c r="K37" s="7"/>
      <c r="L37" s="31" t="str">
        <f>VLOOKUP(AG41,AG2:AR96,$AE$1+1,FALSE)</f>
        <v>sklon podlahy</v>
      </c>
      <c r="M37" s="7"/>
      <c r="N37" s="7"/>
      <c r="O37" s="7"/>
      <c r="P37" s="7"/>
      <c r="Q37" s="7"/>
      <c r="R37" s="106"/>
      <c r="S37" s="24"/>
      <c r="T37" s="7"/>
      <c r="U37" s="7"/>
      <c r="V37" s="7"/>
      <c r="W37" s="7"/>
      <c r="AA37" s="7"/>
      <c r="AB37" s="6"/>
      <c r="AG37" t="str">
        <f t="shared" si="0"/>
        <v>NEZBYTNÝ VOLNÝ PROSTOR</v>
      </c>
      <c r="AH37" t="s">
        <v>244</v>
      </c>
      <c r="AI37" t="s">
        <v>245</v>
      </c>
      <c r="AJ37" t="s">
        <v>246</v>
      </c>
      <c r="AK37" t="s">
        <v>247</v>
      </c>
      <c r="AL37" t="s">
        <v>248</v>
      </c>
      <c r="AM37" t="s">
        <v>249</v>
      </c>
      <c r="AN37" t="s">
        <v>250</v>
      </c>
      <c r="AO37" t="s">
        <v>251</v>
      </c>
      <c r="AP37" t="s">
        <v>252</v>
      </c>
    </row>
    <row r="38" spans="1:42" ht="15.75" x14ac:dyDescent="0.25">
      <c r="B38" s="51"/>
      <c r="C38" s="46"/>
      <c r="D38" s="46"/>
      <c r="E38" s="46"/>
      <c r="F38" s="46"/>
      <c r="G38" s="46"/>
      <c r="H38" s="7"/>
      <c r="I38" s="7"/>
      <c r="J38" s="7"/>
      <c r="K38" s="7"/>
      <c r="L38" s="7"/>
      <c r="M38" s="7"/>
      <c r="N38" s="31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6"/>
      <c r="AJ38" t="s">
        <v>253</v>
      </c>
      <c r="AN38"/>
      <c r="AO38"/>
      <c r="AP38"/>
    </row>
    <row r="39" spans="1:42" ht="18.75" x14ac:dyDescent="0.3">
      <c r="B39" s="107"/>
      <c r="C39" s="7"/>
      <c r="D39" s="7"/>
      <c r="E39" s="17" t="str">
        <f>VLOOKUP(AG7,AG2:AR96,$AE$1+1,FALSE)</f>
        <v>ŘEZ B-B</v>
      </c>
      <c r="F39" s="7"/>
      <c r="H39" s="7"/>
      <c r="I39" s="7"/>
      <c r="J39" s="7"/>
      <c r="K39" s="7"/>
      <c r="L39" s="7"/>
      <c r="N39" s="84"/>
      <c r="O39" s="31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6"/>
      <c r="AN39"/>
      <c r="AO39"/>
      <c r="AP39"/>
    </row>
    <row r="40" spans="1:42" ht="15.75" x14ac:dyDescent="0.25">
      <c r="B40" s="10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31"/>
      <c r="O40" s="84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6"/>
      <c r="AN40"/>
      <c r="AO40"/>
      <c r="AP40"/>
    </row>
    <row r="41" spans="1:42" ht="15.75" x14ac:dyDescent="0.25">
      <c r="B41" s="10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31"/>
      <c r="O41" s="84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6"/>
      <c r="AG41" t="str">
        <f t="shared" si="0"/>
        <v>sklon podlahy</v>
      </c>
      <c r="AH41" t="s">
        <v>254</v>
      </c>
      <c r="AI41" t="s">
        <v>255</v>
      </c>
      <c r="AJ41" t="s">
        <v>256</v>
      </c>
      <c r="AK41" t="s">
        <v>257</v>
      </c>
      <c r="AL41" t="s">
        <v>258</v>
      </c>
      <c r="AM41" t="s">
        <v>259</v>
      </c>
      <c r="AN41" t="s">
        <v>260</v>
      </c>
      <c r="AO41" t="s">
        <v>261</v>
      </c>
      <c r="AP41" t="s">
        <v>262</v>
      </c>
    </row>
    <row r="42" spans="1:42" ht="15.75" customHeight="1" x14ac:dyDescent="0.25">
      <c r="B42" s="107"/>
      <c r="C42" s="108"/>
      <c r="D42" s="7"/>
      <c r="E42" s="7"/>
      <c r="F42" s="7"/>
      <c r="G42" s="7"/>
      <c r="H42" s="7"/>
      <c r="I42" s="7"/>
      <c r="J42" s="7"/>
      <c r="K42" s="7"/>
      <c r="L42" s="7"/>
      <c r="M42" s="7"/>
      <c r="O42" s="84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6"/>
      <c r="AG42" t="str">
        <f t="shared" si="0"/>
        <v>směrem ven</v>
      </c>
      <c r="AH42" t="s">
        <v>263</v>
      </c>
      <c r="AI42" t="s">
        <v>264</v>
      </c>
      <c r="AJ42" t="s">
        <v>265</v>
      </c>
      <c r="AK42" t="s">
        <v>266</v>
      </c>
      <c r="AL42" t="str">
        <f>""</f>
        <v/>
      </c>
      <c r="AM42" t="s">
        <v>267</v>
      </c>
      <c r="AN42" t="s">
        <v>268</v>
      </c>
      <c r="AO42" t="s">
        <v>269</v>
      </c>
      <c r="AP42"/>
    </row>
    <row r="43" spans="1:42" ht="15.75" customHeight="1" x14ac:dyDescent="0.25">
      <c r="A43" s="6"/>
      <c r="B43" s="109">
        <f>IF($K$11=$AG$122,290,250)</f>
        <v>250</v>
      </c>
      <c r="C43" s="108"/>
      <c r="D43" s="7"/>
      <c r="E43" s="7"/>
      <c r="F43" s="7"/>
      <c r="G43" s="7"/>
      <c r="H43" s="7"/>
      <c r="I43" s="7"/>
      <c r="J43" s="7"/>
      <c r="K43" s="7"/>
      <c r="L43" s="7"/>
      <c r="M43" s="7"/>
      <c r="N43" s="31"/>
      <c r="O43" s="84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6"/>
      <c r="AG43" t="str">
        <f t="shared" si="0"/>
        <v>sklon 3%</v>
      </c>
      <c r="AH43" t="s">
        <v>270</v>
      </c>
      <c r="AI43" t="s">
        <v>271</v>
      </c>
      <c r="AJ43" t="s">
        <v>272</v>
      </c>
      <c r="AK43" t="s">
        <v>273</v>
      </c>
      <c r="AL43" t="s">
        <v>274</v>
      </c>
      <c r="AM43" t="s">
        <v>275</v>
      </c>
      <c r="AN43" t="s">
        <v>276</v>
      </c>
      <c r="AO43" t="s">
        <v>277</v>
      </c>
      <c r="AP43" s="110" t="s">
        <v>278</v>
      </c>
    </row>
    <row r="44" spans="1:42" ht="15.75" x14ac:dyDescent="0.25">
      <c r="A44" s="6"/>
      <c r="B44" s="109"/>
      <c r="C44" s="7"/>
      <c r="D44" s="7"/>
      <c r="E44" s="7"/>
      <c r="F44" s="7"/>
      <c r="G44" s="7"/>
      <c r="H44" s="7"/>
      <c r="I44" s="7"/>
      <c r="J44" s="7"/>
      <c r="K44" s="7"/>
      <c r="L44" s="31"/>
      <c r="M44" s="7"/>
      <c r="N44" s="31"/>
      <c r="O44" s="84"/>
      <c r="P44" s="7"/>
      <c r="Q44" s="7"/>
      <c r="R44" s="7"/>
      <c r="U44" s="7"/>
      <c r="V44" s="7"/>
      <c r="W44" s="7"/>
      <c r="X44" s="7"/>
      <c r="Y44" s="7"/>
      <c r="Z44" s="7"/>
      <c r="AA44" s="7"/>
      <c r="AB44" s="6"/>
      <c r="AG44" t="str">
        <f t="shared" si="0"/>
        <v>směrem ven</v>
      </c>
      <c r="AH44" t="s">
        <v>263</v>
      </c>
      <c r="AI44" t="s">
        <v>279</v>
      </c>
      <c r="AJ44" t="s">
        <v>280</v>
      </c>
      <c r="AK44" t="s">
        <v>266</v>
      </c>
      <c r="AL44" t="s">
        <v>258</v>
      </c>
      <c r="AM44" t="s">
        <v>281</v>
      </c>
      <c r="AN44" t="s">
        <v>282</v>
      </c>
      <c r="AO44" t="s">
        <v>283</v>
      </c>
      <c r="AP44"/>
    </row>
    <row r="45" spans="1:42" ht="15.75" x14ac:dyDescent="0.25">
      <c r="B45" s="107"/>
      <c r="C45" s="111"/>
      <c r="D45" s="112"/>
      <c r="E45" s="113"/>
      <c r="F45" s="113"/>
      <c r="G45" s="7"/>
      <c r="H45" s="7"/>
      <c r="I45" s="7"/>
      <c r="J45" s="7"/>
      <c r="K45" s="7"/>
      <c r="L45" s="7"/>
      <c r="M45" s="7"/>
      <c r="N45" s="31"/>
      <c r="O45" s="84"/>
      <c r="P45" s="7"/>
      <c r="R45" s="114" t="str">
        <f>VLOOKUP(AG35,AG2:AR96,$AE$1+1,FALSE)</f>
        <v>NEZBYTNÁ MONTÁŽNÍ PLOCHA</v>
      </c>
      <c r="S45" s="115"/>
      <c r="T45" s="114"/>
      <c r="U45" s="114"/>
      <c r="V45" s="114"/>
      <c r="W45" s="115"/>
      <c r="X45" s="114" t="str">
        <f>VLOOKUP(AG37,AG4:AR97,$AE$1+1,FALSE)</f>
        <v>NEZBYTNÝ VOLNÝ PROSTOR</v>
      </c>
      <c r="Y45" s="114"/>
      <c r="Z45" s="114"/>
      <c r="AA45" s="114"/>
      <c r="AB45" s="6"/>
      <c r="AG45" t="str">
        <f t="shared" si="0"/>
        <v>sklon podlahy</v>
      </c>
      <c r="AH45" t="s">
        <v>254</v>
      </c>
      <c r="AI45" t="s">
        <v>284</v>
      </c>
      <c r="AJ45" t="s">
        <v>285</v>
      </c>
      <c r="AK45" t="s">
        <v>257</v>
      </c>
      <c r="AL45" t="str">
        <f>""</f>
        <v/>
      </c>
      <c r="AM45" t="s">
        <v>286</v>
      </c>
      <c r="AN45" t="s">
        <v>287</v>
      </c>
      <c r="AO45" t="s">
        <v>288</v>
      </c>
      <c r="AP45" t="s">
        <v>289</v>
      </c>
    </row>
    <row r="46" spans="1:42" ht="15.75" x14ac:dyDescent="0.25">
      <c r="B46" s="107"/>
      <c r="C46" s="111"/>
      <c r="D46" s="112" t="s">
        <v>290</v>
      </c>
      <c r="E46" s="98">
        <f>$C$37+$E$37+$H$37</f>
        <v>250</v>
      </c>
      <c r="F46" s="113"/>
      <c r="G46" s="113"/>
      <c r="H46" s="7"/>
      <c r="I46" s="7"/>
      <c r="J46" s="7"/>
      <c r="K46" s="7"/>
      <c r="L46" s="7"/>
      <c r="M46" s="7"/>
      <c r="N46" s="7"/>
      <c r="O46" s="84"/>
      <c r="P46" s="7"/>
      <c r="R46" s="114"/>
      <c r="S46" s="115"/>
      <c r="T46" s="114"/>
      <c r="U46" s="114"/>
      <c r="V46" s="114"/>
      <c r="W46" s="115"/>
      <c r="X46" s="114"/>
      <c r="Y46" s="114"/>
      <c r="Z46" s="114"/>
      <c r="AA46" s="114"/>
      <c r="AB46" s="6"/>
      <c r="AN46"/>
      <c r="AO46"/>
      <c r="AP46"/>
    </row>
    <row r="47" spans="1:42" x14ac:dyDescent="0.2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P47" s="7"/>
      <c r="R47" s="114" t="str">
        <f>VLOOKUP(AG36,AG4:AR97,$AE$1+1,FALSE)</f>
        <v>MONTÁŽNÍ PLOCHA PRO MOTOR ( L nebo R )</v>
      </c>
      <c r="S47" s="114"/>
      <c r="T47" s="114"/>
      <c r="U47" s="114"/>
      <c r="V47" s="114"/>
      <c r="W47" s="115"/>
      <c r="X47" s="114"/>
      <c r="Y47" s="114"/>
      <c r="Z47" s="114"/>
      <c r="AA47" s="114"/>
      <c r="AB47" s="6"/>
      <c r="AN47"/>
      <c r="AO47"/>
      <c r="AP47"/>
    </row>
    <row r="48" spans="1:42" x14ac:dyDescent="0.25">
      <c r="A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6"/>
      <c r="AG48" t="str">
        <f t="shared" si="0"/>
        <v>nezbytný boční prostor pro motor nebo řetězový pohon ( L nebo R )</v>
      </c>
      <c r="AH48" t="s">
        <v>291</v>
      </c>
      <c r="AI48" t="s">
        <v>292</v>
      </c>
      <c r="AJ48" t="s">
        <v>293</v>
      </c>
      <c r="AK48" t="s">
        <v>294</v>
      </c>
      <c r="AL48" t="s">
        <v>295</v>
      </c>
      <c r="AM48" t="s">
        <v>296</v>
      </c>
      <c r="AN48" t="s">
        <v>297</v>
      </c>
      <c r="AO48" t="s">
        <v>298</v>
      </c>
      <c r="AP48" t="s">
        <v>299</v>
      </c>
    </row>
    <row r="49" spans="1:42" ht="15.75" x14ac:dyDescent="0.25">
      <c r="A49" s="6"/>
      <c r="B49" s="31" t="str">
        <f>VLOOKUP(AG8,AG2:AR96,$AE$1+1,FALSE)</f>
        <v>POZNÁMKA:</v>
      </c>
      <c r="C49" s="31"/>
      <c r="D49" s="116"/>
      <c r="E49" s="31"/>
      <c r="F49" s="31"/>
      <c r="G49" s="31"/>
      <c r="H49" s="31"/>
      <c r="I49" s="31"/>
      <c r="J49" s="31"/>
      <c r="K49" s="31"/>
      <c r="L49" s="7"/>
      <c r="M49" s="7"/>
      <c r="N49" s="7"/>
      <c r="O49" s="7"/>
      <c r="P49" s="7"/>
      <c r="Q49" s="7"/>
      <c r="AB49" s="6"/>
      <c r="AG49" t="str">
        <f t="shared" si="0"/>
        <v>montážní plocha pro řídící jednotku motoru, rozměr 250 x 400 mm</v>
      </c>
      <c r="AH49" t="s">
        <v>300</v>
      </c>
      <c r="AI49" t="s">
        <v>301</v>
      </c>
      <c r="AJ49" t="s">
        <v>302</v>
      </c>
      <c r="AK49" t="s">
        <v>303</v>
      </c>
      <c r="AL49" t="s">
        <v>304</v>
      </c>
      <c r="AM49" t="s">
        <v>305</v>
      </c>
      <c r="AN49" t="s">
        <v>306</v>
      </c>
      <c r="AO49" t="s">
        <v>307</v>
      </c>
      <c r="AP49" t="s">
        <v>308</v>
      </c>
    </row>
    <row r="50" spans="1:42" ht="15.75" x14ac:dyDescent="0.25">
      <c r="A50" s="6"/>
      <c r="B50" s="84"/>
      <c r="C50" s="31"/>
      <c r="D50" s="31"/>
      <c r="E50" s="31"/>
      <c r="F50" s="31"/>
      <c r="G50" s="31"/>
      <c r="H50" s="31"/>
      <c r="I50" s="31"/>
      <c r="J50" s="31"/>
      <c r="K50" s="31"/>
      <c r="L50" s="7"/>
      <c r="M50" s="7"/>
      <c r="N50" s="7"/>
      <c r="O50" s="7"/>
      <c r="P50" s="7"/>
      <c r="Q50" s="7"/>
      <c r="AB50" s="6"/>
      <c r="AG50" t="str">
        <f t="shared" si="0"/>
        <v>osa cca 1.400 až 1.500 mm od podlahy</v>
      </c>
      <c r="AH50" t="s">
        <v>309</v>
      </c>
      <c r="AI50" t="s">
        <v>310</v>
      </c>
      <c r="AJ50" t="s">
        <v>311</v>
      </c>
      <c r="AK50" t="s">
        <v>312</v>
      </c>
      <c r="AL50" t="s">
        <v>313</v>
      </c>
      <c r="AM50" t="s">
        <v>314</v>
      </c>
      <c r="AN50" t="s">
        <v>315</v>
      </c>
      <c r="AO50" t="s">
        <v>316</v>
      </c>
      <c r="AP50" t="s">
        <v>317</v>
      </c>
    </row>
    <row r="51" spans="1:42" ht="15.75" x14ac:dyDescent="0.25">
      <c r="B51" s="117" t="str">
        <f>VLOOKUP(AG55,AG2:AR96,$AE$1+1,FALSE)</f>
        <v xml:space="preserve">Plocha, která se montuje, musí být rovná a pevná a všechny montážní plochy musí být v jedné rovině. </v>
      </c>
      <c r="C51" s="118"/>
      <c r="D51" s="118"/>
      <c r="E51" s="118"/>
      <c r="F51" s="118"/>
      <c r="G51" s="118"/>
      <c r="H51" s="118"/>
      <c r="I51" s="118"/>
      <c r="J51" s="118"/>
      <c r="K51" s="31"/>
      <c r="L51" s="7"/>
      <c r="M51" s="7"/>
      <c r="N51" s="7"/>
      <c r="O51" s="7"/>
      <c r="R51" s="119" t="str">
        <f>VLOOKUP(AG25,AG2:AR96,$AE$1+1,FALSE)</f>
        <v>PRÁCE, KTERÉ MUSÍ BÝT PROVEDENY ZÁKAZNÍKEM PŘED MONTÁŽÍ, POKUD NEBYLO DOHODNUTO JINAK</v>
      </c>
      <c r="S51" s="119"/>
      <c r="T51" s="119"/>
      <c r="U51" s="119"/>
      <c r="V51" s="119"/>
      <c r="W51" s="119"/>
      <c r="X51" s="119"/>
      <c r="Y51" s="119"/>
      <c r="Z51" s="119"/>
      <c r="AA51" s="119"/>
      <c r="AB51" s="120"/>
      <c r="AG51" t="str">
        <f t="shared" si="0"/>
        <v>zásuvka CEE 16 A, 5P, 400 V, jištěno 6 A (10 A) jističem, proudový chránič I=30 mA</v>
      </c>
      <c r="AH51" t="s">
        <v>318</v>
      </c>
      <c r="AI51" t="s">
        <v>319</v>
      </c>
      <c r="AJ51" t="s">
        <v>320</v>
      </c>
      <c r="AK51" t="s">
        <v>321</v>
      </c>
      <c r="AL51" t="s">
        <v>322</v>
      </c>
      <c r="AM51" t="s">
        <v>323</v>
      </c>
      <c r="AN51" t="s">
        <v>324</v>
      </c>
      <c r="AO51" t="s">
        <v>325</v>
      </c>
      <c r="AP51" t="s">
        <v>326</v>
      </c>
    </row>
    <row r="52" spans="1:42" ht="15.75" x14ac:dyDescent="0.25">
      <c r="B52" s="121" t="str">
        <f>VLOOKUP(AG56,AG2:AR96,$AE$1+1,FALSE)</f>
        <v>Otvor musí být svislý a obdélníkový.</v>
      </c>
      <c r="C52" s="31"/>
      <c r="D52" s="31"/>
      <c r="E52" s="31"/>
      <c r="F52" s="31"/>
      <c r="G52" s="31"/>
      <c r="H52" s="31"/>
      <c r="I52" s="31"/>
      <c r="J52" s="31"/>
      <c r="K52" s="31"/>
      <c r="L52" s="7"/>
      <c r="M52" s="7"/>
      <c r="N52" s="7"/>
      <c r="O52" s="7"/>
      <c r="Q52" s="7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20"/>
      <c r="AC52" s="7"/>
      <c r="AN52"/>
      <c r="AO52"/>
      <c r="AP52"/>
    </row>
    <row r="53" spans="1:42" ht="15.75" customHeight="1" x14ac:dyDescent="0.25">
      <c r="B53" s="121" t="str">
        <f>VLOOKUP(AG57,AG2:AR96,$AE$1+1,FALSE)</f>
        <v>Podlaha musí být rovná a vodorovná.</v>
      </c>
      <c r="C53" s="31"/>
      <c r="D53" s="31"/>
      <c r="E53" s="31"/>
      <c r="F53" s="31"/>
      <c r="G53" s="31"/>
      <c r="H53" s="31"/>
      <c r="I53" s="31"/>
      <c r="J53" s="31"/>
      <c r="K53" s="31"/>
      <c r="L53" s="7"/>
      <c r="M53" s="7"/>
      <c r="N53" s="7"/>
      <c r="O53" s="7"/>
      <c r="P53" s="7"/>
      <c r="Q53" s="7"/>
      <c r="R53" s="7" t="str">
        <f>VLOOKUP(AG26,AG2:AR96,$AE$1+1,FALSE)</f>
        <v>Konstrukční:</v>
      </c>
      <c r="AB53" s="6"/>
      <c r="AC53" s="7"/>
      <c r="AN53"/>
      <c r="AO53"/>
      <c r="AP53"/>
    </row>
    <row r="54" spans="1:42" ht="15.75" customHeight="1" thickBot="1" x14ac:dyDescent="0.3">
      <c r="B54" s="121" t="str">
        <f>AG119</f>
        <v>Když 1 1/4" hřídel, tak překlad automaticky HL+360 a osa hřídele HL+210 mm</v>
      </c>
      <c r="C54" s="31"/>
      <c r="D54" s="31"/>
      <c r="E54" s="31"/>
      <c r="F54" s="31"/>
      <c r="G54" s="31"/>
      <c r="H54" s="122"/>
      <c r="I54" s="122"/>
      <c r="J54" s="122"/>
      <c r="K54" s="122"/>
      <c r="L54" s="1"/>
      <c r="M54" s="7"/>
      <c r="N54" s="7"/>
      <c r="O54" s="7"/>
      <c r="P54" s="7"/>
      <c r="Q54" s="7"/>
      <c r="R54" s="123" t="str">
        <f>VLOOKUP(AG27,AG2:AR96,$AE$1+1,FALSE)</f>
        <v>Příprava montážních ploch pro vedení vrat a pro pružiny.</v>
      </c>
      <c r="S54" s="123"/>
      <c r="T54" s="123"/>
      <c r="U54" s="123"/>
      <c r="V54" s="123"/>
      <c r="W54" s="123"/>
      <c r="X54" s="123"/>
      <c r="Y54" s="123"/>
      <c r="Z54" s="123"/>
      <c r="AA54" s="123"/>
      <c r="AB54" s="124"/>
      <c r="AC54" s="7"/>
      <c r="AN54"/>
      <c r="AO54"/>
      <c r="AP54"/>
    </row>
    <row r="55" spans="1:42" ht="15.75" customHeight="1" thickBot="1" x14ac:dyDescent="0.3">
      <c r="B55" s="125" t="str">
        <f>VLOOKUP(AG60,AG2:AR96,$AE$1+1,FALSE)</f>
        <v>Rozměry jsou v mm</v>
      </c>
      <c r="C55" s="126"/>
      <c r="D55" s="126"/>
      <c r="E55" s="126"/>
      <c r="F55" s="127"/>
      <c r="G55" s="128" t="str">
        <f>VLOOKUP(AG74,AG6:AR99,$AE$1+1,FALSE)</f>
        <v>Ruční ovládání</v>
      </c>
      <c r="H55" s="129"/>
      <c r="I55" s="129"/>
      <c r="J55" s="129"/>
      <c r="K55" s="129"/>
      <c r="L55" s="128"/>
      <c r="M55" s="130" t="str">
        <f>VLOOKUP(AG81,AG6:AR99,$AE$1+1,FALSE)</f>
        <v>Volný prostor nad překladem</v>
      </c>
      <c r="N55" s="131"/>
      <c r="O55" s="131"/>
      <c r="P55" s="132"/>
      <c r="Q55" s="7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4"/>
      <c r="AC55" s="7"/>
      <c r="AG55" t="str">
        <f t="shared" si="0"/>
        <v xml:space="preserve">Plocha, která se montuje, musí být rovná a pevná a všechny montážní plochy musí být v jedné rovině. </v>
      </c>
      <c r="AH55" t="s">
        <v>327</v>
      </c>
      <c r="AI55" t="s">
        <v>328</v>
      </c>
      <c r="AJ55" t="s">
        <v>329</v>
      </c>
      <c r="AK55" t="s">
        <v>330</v>
      </c>
      <c r="AL55" t="s">
        <v>331</v>
      </c>
      <c r="AM55" t="s">
        <v>332</v>
      </c>
      <c r="AN55" t="s">
        <v>333</v>
      </c>
      <c r="AO55" t="s">
        <v>334</v>
      </c>
      <c r="AP55" t="s">
        <v>335</v>
      </c>
    </row>
    <row r="56" spans="1:42" ht="15.75" thickBot="1" x14ac:dyDescent="0.3">
      <c r="B56" s="133" t="s">
        <v>336</v>
      </c>
      <c r="C56" s="134" t="str">
        <f>VLOOKUP(AG61,AG2:AR96,$AE$1+1,FALSE)</f>
        <v>Šířka otvoru</v>
      </c>
      <c r="D56" s="135"/>
      <c r="E56" s="134"/>
      <c r="F56" s="136"/>
      <c r="G56" s="133" t="s">
        <v>337</v>
      </c>
      <c r="H56" s="135" t="str">
        <f>VLOOKUP(AG75,AG6:AR99,$AE$1+1,FALSE)</f>
        <v>Obě strany</v>
      </c>
      <c r="I56" s="135"/>
      <c r="J56" s="16"/>
      <c r="K56" s="135"/>
      <c r="L56" s="136" t="str">
        <f>IF(K13=AG123,"min.150","min. 125")</f>
        <v>min. 125</v>
      </c>
      <c r="M56" s="137" t="s">
        <v>338</v>
      </c>
      <c r="N56" s="7"/>
      <c r="O56" s="7"/>
      <c r="P56" s="6">
        <f>K7</f>
        <v>0</v>
      </c>
      <c r="Q56" s="7"/>
      <c r="AB56" s="6"/>
      <c r="AC56" s="7"/>
      <c r="AG56" t="str">
        <f t="shared" si="0"/>
        <v>Otvor musí být svislý a obdélníkový.</v>
      </c>
      <c r="AH56" t="s">
        <v>339</v>
      </c>
      <c r="AI56" t="s">
        <v>340</v>
      </c>
      <c r="AJ56" t="s">
        <v>341</v>
      </c>
      <c r="AK56" t="s">
        <v>342</v>
      </c>
      <c r="AL56" t="s">
        <v>343</v>
      </c>
      <c r="AM56" t="s">
        <v>344</v>
      </c>
      <c r="AN56" t="s">
        <v>345</v>
      </c>
      <c r="AO56" t="s">
        <v>346</v>
      </c>
      <c r="AP56" t="s">
        <v>347</v>
      </c>
    </row>
    <row r="57" spans="1:42" ht="15.75" thickBot="1" x14ac:dyDescent="0.3">
      <c r="B57" s="133" t="s">
        <v>348</v>
      </c>
      <c r="C57" s="134" t="str">
        <f>VLOOKUP(AG62,AG3:AR96,$AE$1+1,FALSE)</f>
        <v>Výška otvoru</v>
      </c>
      <c r="D57" s="135"/>
      <c r="E57" s="135"/>
      <c r="F57" s="136"/>
      <c r="G57" s="133" t="s">
        <v>349</v>
      </c>
      <c r="H57" s="135" t="str">
        <f>VLOOKUP(AG78,AG6:AR99,$AE$1+1,FALSE)</f>
        <v>Hloubka vedení</v>
      </c>
      <c r="I57" s="135"/>
      <c r="J57" s="135"/>
      <c r="K57" s="138" t="s">
        <v>350</v>
      </c>
      <c r="L57" s="136" t="str">
        <f>IF(OR(K3="",K5=""),"",K5-P59+1000)</f>
        <v/>
      </c>
      <c r="M57" s="125"/>
      <c r="N57" s="126"/>
      <c r="O57" s="126"/>
      <c r="P57" s="127"/>
      <c r="R57" s="7" t="str">
        <f>VLOOKUP(AG29,AG2:AR96,$AE$1+1,FALSE)</f>
        <v>Nezbytné montážní plochy a volný prostor dle nákresu.</v>
      </c>
      <c r="S57" s="7"/>
      <c r="T57" s="7"/>
      <c r="U57" s="7"/>
      <c r="V57" s="7"/>
      <c r="W57" s="7"/>
      <c r="X57" s="7"/>
      <c r="Y57" s="7"/>
      <c r="Z57" s="7"/>
      <c r="AA57" s="7"/>
      <c r="AB57" s="6"/>
      <c r="AG57" t="str">
        <f t="shared" si="0"/>
        <v>Podlaha musí být rovná a vodorovná.</v>
      </c>
      <c r="AH57" t="s">
        <v>351</v>
      </c>
      <c r="AI57" t="s">
        <v>352</v>
      </c>
      <c r="AJ57" t="s">
        <v>353</v>
      </c>
      <c r="AK57" t="s">
        <v>354</v>
      </c>
      <c r="AL57" t="s">
        <v>355</v>
      </c>
      <c r="AM57" t="s">
        <v>356</v>
      </c>
      <c r="AN57" t="s">
        <v>357</v>
      </c>
      <c r="AO57" t="s">
        <v>358</v>
      </c>
      <c r="AP57" t="s">
        <v>359</v>
      </c>
    </row>
    <row r="58" spans="1:42" ht="15.75" thickBot="1" x14ac:dyDescent="0.3">
      <c r="B58" s="139" t="s">
        <v>360</v>
      </c>
      <c r="C58" s="140" t="str">
        <f>AG63</f>
        <v>Zvýšené vedení</v>
      </c>
      <c r="D58" s="141"/>
      <c r="E58" s="141"/>
      <c r="F58" s="142"/>
      <c r="G58" s="143" t="str">
        <f>VLOOKUP(AG76,AG6:AR99,$AE$1+1,FALSE)</f>
        <v>Ovládání elektricky nebo řetězovým převodem</v>
      </c>
      <c r="H58" s="144"/>
      <c r="I58" s="144"/>
      <c r="J58" s="144"/>
      <c r="K58" s="144"/>
      <c r="L58" s="145"/>
      <c r="M58" s="128" t="str">
        <f>AG63</f>
        <v>Zvýšené vedení</v>
      </c>
      <c r="N58" s="128"/>
      <c r="O58" s="128"/>
      <c r="P58" s="146"/>
      <c r="R58" s="7" t="str">
        <f>VLOOKUP(AG30,AG2:AR96,$AE$1+1,FALSE)</f>
        <v xml:space="preserve">Elekrická příprava (pro elektricky ovládaná sekční vrata): </v>
      </c>
      <c r="S58" s="7"/>
      <c r="T58" s="7"/>
      <c r="U58" s="7"/>
      <c r="V58" s="7"/>
      <c r="W58" s="7"/>
      <c r="X58" s="7"/>
      <c r="Y58" s="7"/>
      <c r="Z58" s="7"/>
      <c r="AA58" s="7"/>
      <c r="AB58" s="6"/>
      <c r="AN58"/>
      <c r="AO58"/>
      <c r="AP58"/>
    </row>
    <row r="59" spans="1:42" ht="15.75" thickBot="1" x14ac:dyDescent="0.3">
      <c r="A59" s="6"/>
      <c r="B59" s="147" t="s">
        <v>361</v>
      </c>
      <c r="C59" s="134" t="str">
        <f>VLOOKUP(AG65,AG5:AR98,$AE$1+1,FALSE)</f>
        <v>Volný prostor nad překladem</v>
      </c>
      <c r="D59" s="134"/>
      <c r="E59" s="134"/>
      <c r="F59" s="148"/>
      <c r="G59" s="133" t="s">
        <v>337</v>
      </c>
      <c r="H59" s="135" t="str">
        <f>VLOOKUP(AG77,AG6:AR99,$AE$1+1,FALSE)</f>
        <v>Motor nebo řetěz. př.</v>
      </c>
      <c r="I59" s="135"/>
      <c r="J59" s="16"/>
      <c r="K59" s="135"/>
      <c r="L59" s="136" t="str">
        <f>IF(K13=AG123,"min.400","min. 375")</f>
        <v>min. 375</v>
      </c>
      <c r="M59" s="149" t="s">
        <v>362</v>
      </c>
      <c r="N59" s="150">
        <f>IF(K11=AG117,O59-40,O59)</f>
        <v>-270</v>
      </c>
      <c r="O59" s="151">
        <f>IF(AND(K7&lt;1640,K5&lt;4800),K7-270,IF(AND(K7&gt;=1641,K7&lt;3370,K5&lt;4800),K7-320,K7-360))</f>
        <v>-270</v>
      </c>
      <c r="P59" s="127">
        <f>IF(N59&gt;4100,4100,N59)</f>
        <v>-270</v>
      </c>
      <c r="R59" s="7" t="str">
        <f>VLOOKUP(AG31,AG2:AR96,$AE$1+1,FALSE)</f>
        <v>Zásuvka CEE 16 A, 5P, 400 V = zásuvka s nulovým a zemnícím vodičem</v>
      </c>
      <c r="S59" s="7"/>
      <c r="T59" s="7"/>
      <c r="U59" s="7"/>
      <c r="V59" s="7"/>
      <c r="W59" s="7"/>
      <c r="X59" s="7"/>
      <c r="AA59" s="7"/>
      <c r="AB59" s="6"/>
      <c r="AN59"/>
      <c r="AO59"/>
      <c r="AP59"/>
    </row>
    <row r="60" spans="1:42" ht="15.75" thickBot="1" x14ac:dyDescent="0.3">
      <c r="A60" s="6"/>
      <c r="B60" s="133" t="s">
        <v>363</v>
      </c>
      <c r="C60" s="134" t="str">
        <f>VLOOKUP(AG82,AG6:AR99,$AE$1+1,FALSE)</f>
        <v>Osa hřídele nad překladem</v>
      </c>
      <c r="D60" s="135"/>
      <c r="E60" s="135"/>
      <c r="F60" s="136"/>
      <c r="G60" s="133" t="s">
        <v>349</v>
      </c>
      <c r="H60" s="135" t="str">
        <f>VLOOKUP(AG78,AG6:AR99,$AE$1+1,FALSE)</f>
        <v>Hloubka vedení</v>
      </c>
      <c r="I60" s="135"/>
      <c r="J60" s="135"/>
      <c r="K60" s="138" t="s">
        <v>350</v>
      </c>
      <c r="L60" s="136" t="str">
        <f>IF(OR(K3="",K5="",K3=0,K5=0),"",K5-P59+1000)</f>
        <v/>
      </c>
      <c r="M60" s="152" t="s">
        <v>364</v>
      </c>
      <c r="N60" s="152"/>
      <c r="O60" s="126"/>
      <c r="P60" s="153" t="s">
        <v>365</v>
      </c>
      <c r="AA60" s="1"/>
      <c r="AB60" s="154"/>
      <c r="AG60" t="str">
        <f t="shared" si="0"/>
        <v>Rozměry jsou v mm</v>
      </c>
      <c r="AH60" t="s">
        <v>366</v>
      </c>
      <c r="AI60" t="s">
        <v>367</v>
      </c>
      <c r="AJ60" t="s">
        <v>368</v>
      </c>
      <c r="AK60" t="s">
        <v>369</v>
      </c>
      <c r="AL60" t="s">
        <v>370</v>
      </c>
      <c r="AM60" t="s">
        <v>371</v>
      </c>
      <c r="AN60" t="s">
        <v>372</v>
      </c>
      <c r="AO60" t="s">
        <v>373</v>
      </c>
      <c r="AP60" t="s">
        <v>374</v>
      </c>
    </row>
    <row r="61" spans="1:42" ht="15.75" thickBot="1" x14ac:dyDescent="0.3">
      <c r="B61" s="133" t="s">
        <v>375</v>
      </c>
      <c r="C61" s="134" t="str">
        <f>VLOOKUP(AG67,AG7:AR100,$AE$1+1,FALSE)</f>
        <v>Volný prostor vlevo</v>
      </c>
      <c r="F61" s="136"/>
      <c r="G61" s="128" t="str">
        <f>IF(L57&lt;3000,VLOOKUP(AG79,AG6:AR99,$AE$1+1,FALSE),"")</f>
        <v/>
      </c>
      <c r="H61" s="128"/>
      <c r="I61" s="128" t="str">
        <f>IF(L57&lt;3000,"D&lt;3000","")</f>
        <v/>
      </c>
      <c r="J61" s="128"/>
      <c r="K61" s="128"/>
      <c r="L61" s="146"/>
      <c r="M61" s="152" t="s">
        <v>376</v>
      </c>
      <c r="N61" s="152"/>
      <c r="O61" s="126"/>
      <c r="P61" s="153" t="s">
        <v>377</v>
      </c>
      <c r="Q61" s="7"/>
      <c r="R61" s="155" t="str">
        <f>VLOOKUP(AG85,AG2:AR96,$AE$1+1,FALSE)</f>
        <v>Sestavil:</v>
      </c>
      <c r="S61" s="156"/>
      <c r="T61" s="155" t="str">
        <f>VLOOKUP(AG86,AG2:AR96,$AE$1+1,FALSE)</f>
        <v>Upravil:</v>
      </c>
      <c r="U61" s="156"/>
      <c r="V61" s="155" t="str">
        <f>VLOOKUP(AG87,AG2:AR96,$AE$1+1,FALSE)</f>
        <v>Schváleno - datum:</v>
      </c>
      <c r="W61" s="156"/>
      <c r="X61" s="155" t="str">
        <f>VLOOKUP(AG88,AG2:AR96,$AE$1+1,FALSE)</f>
        <v>Název souboru:</v>
      </c>
      <c r="Y61" s="156"/>
      <c r="Z61" s="157" t="str">
        <f>VLOOKUP(AG89,AG2:AR96,$AE$1+1,FALSE)</f>
        <v>Datum:</v>
      </c>
      <c r="AA61" s="139" t="str">
        <f>VLOOKUP(AG90,AG2:AR96,$AE$1+1,FALSE)</f>
        <v>Měřítko</v>
      </c>
      <c r="AB61" s="36" t="str">
        <f>VLOOKUP(AG91,AG2:AR96,$AE$1+1,FALSE)</f>
        <v xml:space="preserve">Formát: </v>
      </c>
      <c r="AG61" t="str">
        <f t="shared" si="0"/>
        <v>Šířka otvoru</v>
      </c>
      <c r="AH61" t="s">
        <v>24</v>
      </c>
      <c r="AI61" t="s">
        <v>25</v>
      </c>
      <c r="AJ61" t="s">
        <v>26</v>
      </c>
      <c r="AK61" t="s">
        <v>27</v>
      </c>
      <c r="AL61" t="s">
        <v>28</v>
      </c>
      <c r="AM61" t="s">
        <v>29</v>
      </c>
      <c r="AN61" t="s">
        <v>30</v>
      </c>
      <c r="AO61" t="s">
        <v>31</v>
      </c>
      <c r="AP61" t="s">
        <v>378</v>
      </c>
    </row>
    <row r="62" spans="1:42" ht="15.75" thickBot="1" x14ac:dyDescent="0.3">
      <c r="B62" s="133" t="s">
        <v>379</v>
      </c>
      <c r="C62" s="134" t="str">
        <f>VLOOKUP(AG68,AG8:AR101,$AE$1+1,FALSE)</f>
        <v>Volný prostor vravo</v>
      </c>
      <c r="D62" s="135"/>
      <c r="E62" s="135"/>
      <c r="F62" s="136"/>
      <c r="G62" s="133" t="str">
        <f>IF(L57&lt;3000,"X","")</f>
        <v/>
      </c>
      <c r="H62" s="126" t="str">
        <f>IF(L57&lt;3000,VLOOKUP(AG80,AG6:AR99,$AE$1+1,FALSE),"")</f>
        <v/>
      </c>
      <c r="I62" s="126"/>
      <c r="J62" s="126"/>
      <c r="K62" s="158" t="str">
        <f>IF(L57&lt;3000,"H - HL","")</f>
        <v/>
      </c>
      <c r="L62" s="154" t="str">
        <f>IF(L57&lt;3000,IF(OR(K3="",K5="",K7=""),"",K5-P59),"")</f>
        <v/>
      </c>
      <c r="M62" s="152" t="s">
        <v>380</v>
      </c>
      <c r="N62" s="152"/>
      <c r="O62" s="126"/>
      <c r="P62" s="153" t="s">
        <v>381</v>
      </c>
      <c r="Q62" s="7"/>
      <c r="R62" s="155" t="s">
        <v>382</v>
      </c>
      <c r="S62" s="156"/>
      <c r="T62" s="155" t="s">
        <v>383</v>
      </c>
      <c r="U62" s="156"/>
      <c r="V62" s="159">
        <v>43732</v>
      </c>
      <c r="W62" s="156"/>
      <c r="X62" s="155" t="s">
        <v>384</v>
      </c>
      <c r="Y62" s="156"/>
      <c r="Z62" s="160">
        <v>43732</v>
      </c>
      <c r="AA62" s="161" t="s">
        <v>385</v>
      </c>
      <c r="AB62" s="162" t="s">
        <v>386</v>
      </c>
      <c r="AG62" t="str">
        <f t="shared" si="0"/>
        <v>Výška otvoru</v>
      </c>
      <c r="AH62" t="s">
        <v>34</v>
      </c>
      <c r="AI62" t="s">
        <v>35</v>
      </c>
      <c r="AJ62" t="s">
        <v>36</v>
      </c>
      <c r="AK62" t="s">
        <v>37</v>
      </c>
      <c r="AL62" t="s">
        <v>38</v>
      </c>
      <c r="AM62" t="s">
        <v>39</v>
      </c>
      <c r="AN62" t="s">
        <v>40</v>
      </c>
      <c r="AO62" t="s">
        <v>41</v>
      </c>
      <c r="AP62" t="s">
        <v>387</v>
      </c>
    </row>
    <row r="63" spans="1:42" ht="15.75" customHeight="1" thickBot="1" x14ac:dyDescent="0.3">
      <c r="A63" s="6"/>
      <c r="B63" s="133" t="s">
        <v>388</v>
      </c>
      <c r="C63" s="134" t="str">
        <f>VLOOKUP(AG69,AG9:AR102,$AE$1+1,FALSE)</f>
        <v>Hloubka vedení</v>
      </c>
      <c r="D63" s="135"/>
      <c r="E63" s="135"/>
      <c r="F63" s="136"/>
      <c r="G63" s="15" t="str">
        <f>IF(AND(L57&gt;=3000,L57&lt;4500),VLOOKUP(AG79,AG6:AR99,$AE$1+1,FALSE),"")</f>
        <v/>
      </c>
      <c r="H63" s="15"/>
      <c r="I63" s="128" t="str">
        <f>IF(AND(L57&gt;=3000,L57&lt;4500),"3000=&lt;D&lt;4500","")</f>
        <v/>
      </c>
      <c r="J63" s="15"/>
      <c r="K63" s="15"/>
      <c r="L63" s="15"/>
      <c r="M63" s="143" t="str">
        <f>VLOOKUP(AG82,AG6:AR99,$AE$1+1,FALSE)</f>
        <v>Osa hřídele nad překladem</v>
      </c>
      <c r="N63" s="128"/>
      <c r="O63" s="163"/>
      <c r="P63" s="164"/>
      <c r="Q63" s="7"/>
      <c r="R63" s="165" t="s">
        <v>389</v>
      </c>
      <c r="S63" s="166"/>
      <c r="T63" s="166"/>
      <c r="U63" s="167"/>
      <c r="V63" s="168" t="str">
        <f>VLOOKUP(AG92,AG2:AR96,$AE$1+1,FALSE)</f>
        <v>STAVEBNÍ PŘIPRAVENOST                    VEDENÍ PRO VYSOKÝ PŘEKLAD (HL)</v>
      </c>
      <c r="W63" s="169"/>
      <c r="X63" s="169"/>
      <c r="Y63" s="169"/>
      <c r="Z63" s="169"/>
      <c r="AA63" s="169"/>
      <c r="AB63" s="170"/>
      <c r="AG63" t="str">
        <f t="shared" si="0"/>
        <v>Zvýšené vedení</v>
      </c>
      <c r="AH63" t="s">
        <v>390</v>
      </c>
      <c r="AI63" t="s">
        <v>391</v>
      </c>
      <c r="AJ63" t="s">
        <v>392</v>
      </c>
      <c r="AK63" t="s">
        <v>393</v>
      </c>
      <c r="AL63" t="s">
        <v>394</v>
      </c>
      <c r="AM63" t="s">
        <v>391</v>
      </c>
      <c r="AN63" t="s">
        <v>395</v>
      </c>
      <c r="AO63" t="s">
        <v>396</v>
      </c>
      <c r="AP63" t="s">
        <v>397</v>
      </c>
    </row>
    <row r="64" spans="1:42" ht="15.75" customHeight="1" thickBot="1" x14ac:dyDescent="0.3">
      <c r="A64" s="6"/>
      <c r="B64" s="38" t="s">
        <v>398</v>
      </c>
      <c r="C64" s="134" t="str">
        <f>VLOOKUP(AG70,AG13:AR104,$AE$1+1,FALSE)</f>
        <v>Kotvící bod č. 1</v>
      </c>
      <c r="D64" s="135"/>
      <c r="E64" s="135"/>
      <c r="F64" s="136"/>
      <c r="G64" s="133" t="str">
        <f>IF(AND(L57&gt;=3000,L57&lt;4500),"X","")</f>
        <v/>
      </c>
      <c r="H64" s="135" t="str">
        <f>IF(AND(L57&gt;=3000,L57&lt;4500),VLOOKUP(AG70,AG6:AR99,$AE$1+1,FALSE),"")</f>
        <v/>
      </c>
      <c r="J64" s="135"/>
      <c r="K64" s="138" t="str">
        <f>IF(AND(L57&gt;=3000,L57&lt;4500),"H -HL","")</f>
        <v/>
      </c>
      <c r="L64" s="136" t="str">
        <f>IF(AND(L57&gt;=3000,L57&lt;4500),IF(OR(K3="",K5="",K7=""),"",K5-K7),"")</f>
        <v/>
      </c>
      <c r="M64" s="36" t="s">
        <v>399</v>
      </c>
      <c r="N64" s="171"/>
      <c r="O64" s="172">
        <f>IF(P59&lt;1370,P59+160,IF(P59&lt;3050,P59+190,P59+210))</f>
        <v>-110</v>
      </c>
      <c r="P64" s="173" t="str">
        <f>IF(OR(K3="",K5="",K3=0,K5=0),"",O64)</f>
        <v/>
      </c>
      <c r="Q64" s="7"/>
      <c r="R64" s="174"/>
      <c r="S64" s="175"/>
      <c r="T64" s="175"/>
      <c r="U64" s="176"/>
      <c r="V64" s="177"/>
      <c r="W64" s="178"/>
      <c r="X64" s="178"/>
      <c r="Y64" s="178"/>
      <c r="Z64" s="178"/>
      <c r="AA64" s="178"/>
      <c r="AB64" s="179"/>
      <c r="AG64" t="str">
        <f t="shared" si="0"/>
        <v>Výška stropu</v>
      </c>
      <c r="AH64" t="s">
        <v>400</v>
      </c>
      <c r="AI64" t="s">
        <v>401</v>
      </c>
      <c r="AJ64" t="s">
        <v>402</v>
      </c>
      <c r="AK64" t="s">
        <v>403</v>
      </c>
      <c r="AL64" t="s">
        <v>404</v>
      </c>
      <c r="AM64" t="s">
        <v>405</v>
      </c>
      <c r="AN64" t="s">
        <v>406</v>
      </c>
      <c r="AO64" t="s">
        <v>407</v>
      </c>
      <c r="AP64" t="s">
        <v>408</v>
      </c>
    </row>
    <row r="65" spans="1:98" ht="15.75" customHeight="1" thickBot="1" x14ac:dyDescent="0.3">
      <c r="A65" s="6"/>
      <c r="B65" s="38" t="s">
        <v>409</v>
      </c>
      <c r="C65" s="134" t="str">
        <f>VLOOKUP(AG71,AG14:AR105,$AE$1+1,FALSE)</f>
        <v>Kotvící bod č. 2</v>
      </c>
      <c r="D65" s="135"/>
      <c r="E65" s="135"/>
      <c r="F65" s="136"/>
      <c r="G65" s="38" t="str">
        <f>IF(AND(L57&gt;=3000,L57&lt;4500),"Y","")</f>
        <v/>
      </c>
      <c r="H65" s="135" t="str">
        <f>IF(AND(L57&gt;=3000,L57&lt;4500),VLOOKUP(AG71,AG6:AR99,$AE$1+1,FALSE),"")</f>
        <v/>
      </c>
      <c r="I65" s="135"/>
      <c r="J65" s="135"/>
      <c r="K65" s="138" t="str">
        <f>IF(AND(L57&gt;=3000,L57&lt;4500),"1/2 X","")</f>
        <v/>
      </c>
      <c r="L65" s="136" t="str">
        <f>IF(AND(L57&gt;=3000,L57&lt;4500),IF(OR(K3="",K5="",K7=""),"",L64/2),"")</f>
        <v/>
      </c>
      <c r="M65" s="180" t="s">
        <v>410</v>
      </c>
      <c r="N65" s="181"/>
      <c r="O65" s="182" t="s">
        <v>411</v>
      </c>
      <c r="P65" s="136"/>
      <c r="Q65" s="7"/>
      <c r="R65" s="107"/>
      <c r="S65" s="7"/>
      <c r="T65" s="7"/>
      <c r="U65" s="7"/>
      <c r="V65" s="177"/>
      <c r="W65" s="178"/>
      <c r="X65" s="178"/>
      <c r="Y65" s="178"/>
      <c r="Z65" s="178"/>
      <c r="AA65" s="178"/>
      <c r="AB65" s="179"/>
      <c r="AG65" t="str">
        <f t="shared" si="0"/>
        <v>Volný prostor nad překladem</v>
      </c>
      <c r="AH65" t="s">
        <v>412</v>
      </c>
      <c r="AI65" t="s">
        <v>413</v>
      </c>
      <c r="AJ65" t="s">
        <v>414</v>
      </c>
      <c r="AK65" t="s">
        <v>415</v>
      </c>
      <c r="AL65" t="s">
        <v>416</v>
      </c>
      <c r="AM65" t="s">
        <v>417</v>
      </c>
      <c r="AN65" t="s">
        <v>418</v>
      </c>
      <c r="AO65" t="s">
        <v>419</v>
      </c>
      <c r="AP65" t="s">
        <v>420</v>
      </c>
    </row>
    <row r="66" spans="1:98" ht="15.75" customHeight="1" thickBot="1" x14ac:dyDescent="0.3">
      <c r="A66" s="6"/>
      <c r="B66" s="38" t="s">
        <v>421</v>
      </c>
      <c r="C66" s="134" t="str">
        <f>VLOOKUP(AG72,AG15:AR106,$AE$1+1,FALSE)</f>
        <v>Kotvící bod č. 3</v>
      </c>
      <c r="D66" s="135"/>
      <c r="E66" s="135"/>
      <c r="F66" s="136"/>
      <c r="G66" s="183" t="str">
        <f>IF(L57&gt;=4500,VLOOKUP(AG79,AG11:AR104,$AE$1+1,FALSE),"")</f>
        <v>Kotvící bod, když je</v>
      </c>
      <c r="H66" s="128"/>
      <c r="I66" s="128" t="str">
        <f>IF(L57&gt;=4500,"D&gt;=4500","")</f>
        <v>D&gt;=4500</v>
      </c>
      <c r="J66" s="128"/>
      <c r="K66" s="128"/>
      <c r="L66" s="146"/>
      <c r="M66" s="180" t="s">
        <v>422</v>
      </c>
      <c r="N66" s="184"/>
      <c r="O66" s="182" t="s">
        <v>423</v>
      </c>
      <c r="P66" s="185"/>
      <c r="Q66" s="7"/>
      <c r="R66" s="107"/>
      <c r="S66" s="7"/>
      <c r="T66" s="7"/>
      <c r="U66" s="7"/>
      <c r="V66" s="177"/>
      <c r="W66" s="178"/>
      <c r="X66" s="178"/>
      <c r="Y66" s="178"/>
      <c r="Z66" s="178"/>
      <c r="AA66" s="178"/>
      <c r="AB66" s="179"/>
      <c r="AG66" t="str">
        <f t="shared" si="0"/>
        <v>Výška montážní plochy nad otvorem</v>
      </c>
      <c r="AH66" t="s">
        <v>424</v>
      </c>
      <c r="AI66" t="s">
        <v>425</v>
      </c>
      <c r="AJ66" t="s">
        <v>426</v>
      </c>
      <c r="AK66" t="s">
        <v>427</v>
      </c>
      <c r="AL66" t="s">
        <v>428</v>
      </c>
      <c r="AM66" t="s">
        <v>429</v>
      </c>
      <c r="AN66" t="s">
        <v>430</v>
      </c>
      <c r="AO66" t="s">
        <v>431</v>
      </c>
      <c r="AP66" t="s">
        <v>432</v>
      </c>
    </row>
    <row r="67" spans="1:98" ht="15.75" customHeight="1" thickBot="1" x14ac:dyDescent="0.3">
      <c r="A67" s="6"/>
      <c r="B67" s="137"/>
      <c r="C67" s="126"/>
      <c r="D67" s="126"/>
      <c r="E67" s="126"/>
      <c r="F67" s="6"/>
      <c r="G67" s="139" t="str">
        <f>IF(L57&gt;=4500,"X","")</f>
        <v>X</v>
      </c>
      <c r="H67" s="135" t="str">
        <f>IF(L57&gt;=4500,VLOOKUP(AG70,AG9:AR102,$AE$1+1,FALSE),"")</f>
        <v>Kotvící bod č. 1</v>
      </c>
      <c r="I67" s="1"/>
      <c r="J67" s="1"/>
      <c r="K67" s="186" t="str">
        <f>IF(L57&gt;=4500,"H-HL+500","")</f>
        <v>H-HL+500</v>
      </c>
      <c r="L67" s="6">
        <f>IF(L57&gt;=4500,K5-P59+500,"")</f>
        <v>770</v>
      </c>
      <c r="M67" s="180" t="s">
        <v>433</v>
      </c>
      <c r="N67" s="135"/>
      <c r="O67" s="182" t="s">
        <v>434</v>
      </c>
      <c r="P67" s="136"/>
      <c r="Q67" s="7"/>
      <c r="R67" s="107"/>
      <c r="S67" s="7"/>
      <c r="T67" s="7"/>
      <c r="U67" s="7"/>
      <c r="V67" s="187"/>
      <c r="W67" s="188"/>
      <c r="X67" s="188"/>
      <c r="Y67" s="188"/>
      <c r="Z67" s="188"/>
      <c r="AA67" s="188"/>
      <c r="AB67" s="189"/>
      <c r="AG67" t="str">
        <f t="shared" ref="AG67:AG123" si="1">VLOOKUP(AH67,AH67:AR161,$AE$1,FALSE)</f>
        <v>Volný prostor vlevo</v>
      </c>
      <c r="AH67" t="s">
        <v>435</v>
      </c>
      <c r="AI67" t="s">
        <v>436</v>
      </c>
      <c r="AJ67" t="s">
        <v>437</v>
      </c>
      <c r="AK67" t="s">
        <v>438</v>
      </c>
      <c r="AL67" t="s">
        <v>439</v>
      </c>
      <c r="AM67" t="s">
        <v>440</v>
      </c>
      <c r="AN67" t="s">
        <v>441</v>
      </c>
      <c r="AO67" t="s">
        <v>442</v>
      </c>
      <c r="AP67" t="s">
        <v>443</v>
      </c>
    </row>
    <row r="68" spans="1:98" ht="15.75" thickBot="1" x14ac:dyDescent="0.3">
      <c r="A68" s="6"/>
      <c r="B68" s="190"/>
      <c r="D68" s="134"/>
      <c r="E68" s="134"/>
      <c r="F68" s="136"/>
      <c r="G68" s="133" t="str">
        <f>IF(L57&gt;=4500,"Y","")</f>
        <v>Y</v>
      </c>
      <c r="H68" s="135" t="str">
        <f>IF(L57&gt;=4500,VLOOKUP(AG71,AG10:AR103,$AE$1+1,FALSE),"")</f>
        <v>Kotvící bod č. 2</v>
      </c>
      <c r="I68" s="135"/>
      <c r="J68" s="135"/>
      <c r="K68" s="138" t="str">
        <f>IF(L57&gt;=4500,"(X/3)*2","")</f>
        <v>(X/3)*2</v>
      </c>
      <c r="L68" s="191">
        <f>IF(L57&gt;=4500,(L67/3)*2,"")</f>
        <v>513.33333333333337</v>
      </c>
      <c r="M68" s="192"/>
      <c r="N68" s="135"/>
      <c r="O68" s="135"/>
      <c r="P68" s="136"/>
      <c r="Q68" s="7"/>
      <c r="R68" s="107"/>
      <c r="S68" s="7"/>
      <c r="T68" s="7"/>
      <c r="U68" s="7"/>
      <c r="V68" s="193" t="str">
        <f>AG12</f>
        <v>VEDENÍ PRO VYSOKÝ PŘEKLAD (HL)</v>
      </c>
      <c r="W68" s="194"/>
      <c r="X68" s="194"/>
      <c r="Y68" s="195"/>
      <c r="Z68" s="139" t="str">
        <f>VLOOKUP(AG95,AG2:AR96,$AE$1+1,FALSE)</f>
        <v>Kód:</v>
      </c>
      <c r="AA68" s="155" t="str">
        <f>VLOOKUP(AG96,AG2:AR96,$AE$1+1,FALSE)</f>
        <v>Verze:</v>
      </c>
      <c r="AB68" s="156"/>
      <c r="AG68" t="str">
        <f t="shared" si="1"/>
        <v>Volný prostor vravo</v>
      </c>
      <c r="AH68" t="s">
        <v>444</v>
      </c>
      <c r="AI68" t="s">
        <v>445</v>
      </c>
      <c r="AJ68" t="s">
        <v>446</v>
      </c>
      <c r="AK68" t="s">
        <v>447</v>
      </c>
      <c r="AL68" t="s">
        <v>448</v>
      </c>
      <c r="AM68" t="s">
        <v>449</v>
      </c>
      <c r="AN68" t="s">
        <v>450</v>
      </c>
      <c r="AO68" t="s">
        <v>451</v>
      </c>
      <c r="AP68" t="s">
        <v>452</v>
      </c>
    </row>
    <row r="69" spans="1:98" ht="15.75" thickBot="1" x14ac:dyDescent="0.3">
      <c r="B69" s="196"/>
      <c r="C69" s="135"/>
      <c r="D69" s="135"/>
      <c r="E69" s="135"/>
      <c r="F69" s="136"/>
      <c r="G69" s="133" t="str">
        <f>IF(L57&gt;=4500,"Y2","")</f>
        <v>Y2</v>
      </c>
      <c r="H69" s="135" t="str">
        <f>IF(L57&gt;=4500,VLOOKUP(AG72,AG11:AR104,$AE$1+1,FALSE),"")</f>
        <v>Kotvící bod č. 3</v>
      </c>
      <c r="I69" s="135"/>
      <c r="J69" s="135"/>
      <c r="K69" s="197" t="str">
        <f>IF(L57&gt;=4500,"X/3","")</f>
        <v>X/3</v>
      </c>
      <c r="L69" s="198">
        <f>IF(L57&gt;=4500,L67/3,"")</f>
        <v>256.66666666666669</v>
      </c>
      <c r="M69" s="192"/>
      <c r="N69" s="134"/>
      <c r="O69" s="134"/>
      <c r="P69" s="148"/>
      <c r="Q69" s="1"/>
      <c r="R69" s="199"/>
      <c r="S69" s="1"/>
      <c r="T69" s="1"/>
      <c r="U69" s="1"/>
      <c r="V69" s="200"/>
      <c r="W69" s="201"/>
      <c r="X69" s="201"/>
      <c r="Y69" s="202"/>
      <c r="Z69" s="203" t="s">
        <v>453</v>
      </c>
      <c r="AA69" s="204">
        <v>2029</v>
      </c>
      <c r="AB69" s="205"/>
      <c r="AG69" t="str">
        <f t="shared" si="1"/>
        <v>Hloubka vedení</v>
      </c>
      <c r="AH69" t="s">
        <v>454</v>
      </c>
      <c r="AI69" t="s">
        <v>455</v>
      </c>
      <c r="AJ69" t="s">
        <v>456</v>
      </c>
      <c r="AK69" t="s">
        <v>457</v>
      </c>
      <c r="AL69" t="s">
        <v>458</v>
      </c>
      <c r="AM69" t="s">
        <v>459</v>
      </c>
      <c r="AN69" t="s">
        <v>460</v>
      </c>
      <c r="AO69" t="s">
        <v>461</v>
      </c>
      <c r="AP69" t="s">
        <v>462</v>
      </c>
    </row>
    <row r="70" spans="1:98" x14ac:dyDescent="0.2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24"/>
      <c r="W70" s="24"/>
      <c r="X70" s="24"/>
      <c r="Y70" s="24"/>
      <c r="Z70" s="7"/>
      <c r="AA70" s="206"/>
      <c r="AB70" s="206"/>
      <c r="AG70" t="str">
        <f t="shared" si="1"/>
        <v>Kotvící bod č. 1</v>
      </c>
      <c r="AH70" t="s">
        <v>463</v>
      </c>
      <c r="AI70" t="s">
        <v>464</v>
      </c>
      <c r="AJ70" t="s">
        <v>465</v>
      </c>
      <c r="AK70" t="s">
        <v>466</v>
      </c>
      <c r="AL70" t="s">
        <v>467</v>
      </c>
      <c r="AM70" t="s">
        <v>468</v>
      </c>
      <c r="AN70" t="s">
        <v>469</v>
      </c>
      <c r="AO70" t="s">
        <v>470</v>
      </c>
      <c r="AP70" t="s">
        <v>471</v>
      </c>
    </row>
    <row r="71" spans="1:98" x14ac:dyDescent="0.2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24"/>
      <c r="W71" s="24"/>
      <c r="X71" s="24"/>
      <c r="Y71" s="24"/>
      <c r="Z71" s="7"/>
      <c r="AA71" s="7"/>
      <c r="AB71" s="7"/>
      <c r="AG71" t="str">
        <f t="shared" si="1"/>
        <v>Kotvící bod č. 2</v>
      </c>
      <c r="AH71" t="s">
        <v>472</v>
      </c>
      <c r="AI71" t="s">
        <v>473</v>
      </c>
      <c r="AJ71" t="s">
        <v>474</v>
      </c>
      <c r="AK71" t="s">
        <v>475</v>
      </c>
      <c r="AL71" t="s">
        <v>476</v>
      </c>
      <c r="AM71" t="s">
        <v>477</v>
      </c>
      <c r="AN71" t="s">
        <v>478</v>
      </c>
      <c r="AO71" t="s">
        <v>479</v>
      </c>
      <c r="AP71" t="s">
        <v>480</v>
      </c>
    </row>
    <row r="72" spans="1:98" x14ac:dyDescent="0.2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24"/>
      <c r="W72" s="24"/>
      <c r="X72" s="24"/>
      <c r="Y72" s="24"/>
      <c r="Z72" s="7"/>
      <c r="AA72" s="7"/>
      <c r="AB72" s="7"/>
      <c r="AG72" t="str">
        <f t="shared" si="1"/>
        <v>Kotvící bod č. 3</v>
      </c>
      <c r="AH72" t="s">
        <v>481</v>
      </c>
      <c r="AI72" t="s">
        <v>482</v>
      </c>
      <c r="AJ72" t="s">
        <v>483</v>
      </c>
      <c r="AK72" t="s">
        <v>484</v>
      </c>
      <c r="AL72" t="s">
        <v>485</v>
      </c>
      <c r="AM72" t="s">
        <v>486</v>
      </c>
      <c r="AN72" t="s">
        <v>487</v>
      </c>
      <c r="AO72" t="s">
        <v>488</v>
      </c>
      <c r="AP72" t="s">
        <v>489</v>
      </c>
    </row>
    <row r="73" spans="1:98" x14ac:dyDescent="0.25">
      <c r="F73" s="7"/>
      <c r="G73" s="28"/>
      <c r="H73" s="28"/>
      <c r="I73" s="28"/>
      <c r="J73" s="28"/>
      <c r="K73" s="28"/>
      <c r="L73" s="28"/>
      <c r="M73" s="7"/>
      <c r="N73" s="7"/>
      <c r="AG73" t="str">
        <f t="shared" si="1"/>
        <v>Volný prostor nad překladem</v>
      </c>
      <c r="AH73" s="37" t="s">
        <v>412</v>
      </c>
      <c r="AI73" s="37" t="s">
        <v>490</v>
      </c>
      <c r="AJ73" s="37" t="s">
        <v>491</v>
      </c>
      <c r="AK73" s="37" t="s">
        <v>492</v>
      </c>
      <c r="AL73" s="37" t="s">
        <v>493</v>
      </c>
      <c r="AM73" s="37" t="s">
        <v>494</v>
      </c>
      <c r="AN73" s="37" t="s">
        <v>495</v>
      </c>
      <c r="AO73" s="37" t="s">
        <v>496</v>
      </c>
      <c r="AP73" s="37" t="s">
        <v>497</v>
      </c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</row>
    <row r="74" spans="1:98" x14ac:dyDescent="0.25">
      <c r="F74" s="7"/>
      <c r="G74" s="40"/>
      <c r="H74" s="28"/>
      <c r="I74" s="28"/>
      <c r="J74" s="28"/>
      <c r="K74" s="28"/>
      <c r="L74" s="28"/>
      <c r="M74" s="7"/>
      <c r="N74" s="7"/>
      <c r="AG74" t="str">
        <f t="shared" si="1"/>
        <v>Ruční ovládání</v>
      </c>
      <c r="AH74" t="s">
        <v>498</v>
      </c>
      <c r="AI74" t="s">
        <v>499</v>
      </c>
      <c r="AJ74" t="s">
        <v>500</v>
      </c>
      <c r="AK74" t="s">
        <v>501</v>
      </c>
      <c r="AL74" t="s">
        <v>502</v>
      </c>
      <c r="AM74" t="s">
        <v>503</v>
      </c>
      <c r="AN74" t="s">
        <v>504</v>
      </c>
      <c r="AO74" t="s">
        <v>505</v>
      </c>
      <c r="AP74" t="s">
        <v>506</v>
      </c>
    </row>
    <row r="75" spans="1:98" x14ac:dyDescent="0.25">
      <c r="F75" s="7"/>
      <c r="G75" s="7"/>
      <c r="H75" s="7"/>
      <c r="I75" s="7"/>
      <c r="J75" s="7"/>
      <c r="K75" s="7"/>
      <c r="L75" s="7"/>
      <c r="M75" s="7"/>
      <c r="N75" s="7"/>
      <c r="AG75" t="str">
        <f t="shared" si="1"/>
        <v>Obě strany</v>
      </c>
      <c r="AH75" t="s">
        <v>507</v>
      </c>
      <c r="AI75" t="s">
        <v>508</v>
      </c>
      <c r="AJ75" t="s">
        <v>509</v>
      </c>
      <c r="AK75" t="s">
        <v>510</v>
      </c>
      <c r="AL75" t="s">
        <v>511</v>
      </c>
      <c r="AM75" t="s">
        <v>512</v>
      </c>
      <c r="AN75" t="s">
        <v>513</v>
      </c>
      <c r="AO75" t="s">
        <v>514</v>
      </c>
      <c r="AP75" t="s">
        <v>515</v>
      </c>
    </row>
    <row r="76" spans="1:98" x14ac:dyDescent="0.25">
      <c r="L76" s="7"/>
      <c r="M76" s="7"/>
      <c r="N76" s="7"/>
      <c r="O76" s="7"/>
      <c r="P76" s="7"/>
      <c r="Q76" s="7"/>
      <c r="R76" s="7"/>
      <c r="S76" s="7"/>
      <c r="T76" s="7"/>
      <c r="AG76" t="str">
        <f t="shared" si="1"/>
        <v>Ovládání elektricky nebo řetězovým převodem</v>
      </c>
      <c r="AH76" t="s">
        <v>516</v>
      </c>
      <c r="AI76" t="s">
        <v>517</v>
      </c>
      <c r="AJ76" t="s">
        <v>518</v>
      </c>
      <c r="AK76" t="s">
        <v>519</v>
      </c>
      <c r="AL76" t="s">
        <v>520</v>
      </c>
      <c r="AM76" t="s">
        <v>521</v>
      </c>
      <c r="AN76" t="s">
        <v>522</v>
      </c>
      <c r="AO76" t="s">
        <v>523</v>
      </c>
      <c r="AP76" t="s">
        <v>524</v>
      </c>
    </row>
    <row r="77" spans="1:98" x14ac:dyDescent="0.25">
      <c r="L77" s="7"/>
      <c r="M77" s="7"/>
      <c r="N77" s="7"/>
      <c r="O77" s="7"/>
      <c r="P77" s="7"/>
      <c r="Q77" s="7"/>
      <c r="R77" s="7"/>
      <c r="S77" s="7"/>
      <c r="T77" s="7"/>
      <c r="AG77" t="str">
        <f t="shared" si="1"/>
        <v>Motor nebo řetěz. př.</v>
      </c>
      <c r="AH77" t="s">
        <v>525</v>
      </c>
      <c r="AI77" t="s">
        <v>526</v>
      </c>
      <c r="AJ77" t="s">
        <v>527</v>
      </c>
      <c r="AK77" t="s">
        <v>528</v>
      </c>
      <c r="AL77" t="s">
        <v>529</v>
      </c>
      <c r="AM77" t="s">
        <v>530</v>
      </c>
      <c r="AN77" t="s">
        <v>531</v>
      </c>
      <c r="AO77" t="s">
        <v>532</v>
      </c>
      <c r="AP77" t="s">
        <v>533</v>
      </c>
    </row>
    <row r="78" spans="1:98" x14ac:dyDescent="0.25">
      <c r="L78" s="7"/>
      <c r="M78" s="7"/>
      <c r="N78" s="7"/>
      <c r="O78" s="7"/>
      <c r="P78" s="7"/>
      <c r="Q78" s="7"/>
      <c r="R78" s="7"/>
      <c r="S78" s="7"/>
      <c r="T78" s="7"/>
      <c r="AG78" t="str">
        <f t="shared" si="1"/>
        <v>Hloubka vedení</v>
      </c>
      <c r="AH78" t="s">
        <v>454</v>
      </c>
      <c r="AI78" t="s">
        <v>455</v>
      </c>
      <c r="AJ78" t="s">
        <v>456</v>
      </c>
      <c r="AK78" t="s">
        <v>534</v>
      </c>
      <c r="AL78" t="s">
        <v>458</v>
      </c>
      <c r="AM78" t="s">
        <v>459</v>
      </c>
      <c r="AN78" t="s">
        <v>460</v>
      </c>
      <c r="AO78" t="s">
        <v>535</v>
      </c>
      <c r="AP78" t="s">
        <v>462</v>
      </c>
    </row>
    <row r="79" spans="1:98" x14ac:dyDescent="0.25">
      <c r="L79" s="7"/>
      <c r="M79" s="7"/>
      <c r="N79" s="7"/>
      <c r="O79" s="7"/>
      <c r="P79" s="7"/>
      <c r="Q79" s="7"/>
      <c r="R79" s="7"/>
      <c r="S79" s="7"/>
      <c r="T79" s="7"/>
      <c r="AG79" t="str">
        <f t="shared" si="1"/>
        <v>Kotvící bod, když je</v>
      </c>
      <c r="AH79" t="s">
        <v>536</v>
      </c>
      <c r="AI79" t="s">
        <v>537</v>
      </c>
      <c r="AJ79" t="s">
        <v>538</v>
      </c>
      <c r="AK79" t="s">
        <v>539</v>
      </c>
      <c r="AL79" t="s">
        <v>540</v>
      </c>
      <c r="AM79" t="s">
        <v>541</v>
      </c>
      <c r="AN79" t="s">
        <v>542</v>
      </c>
      <c r="AO79" t="s">
        <v>543</v>
      </c>
      <c r="AP79" t="s">
        <v>544</v>
      </c>
    </row>
    <row r="80" spans="1:98" x14ac:dyDescent="0.25">
      <c r="L80" s="7"/>
      <c r="M80" s="7"/>
      <c r="N80" s="7"/>
      <c r="O80" s="7"/>
      <c r="P80" s="7"/>
      <c r="Q80" s="7"/>
      <c r="R80" s="7"/>
      <c r="S80" s="7"/>
      <c r="T80" s="7"/>
      <c r="AG80" t="str">
        <f t="shared" si="1"/>
        <v>Kotvící bod</v>
      </c>
      <c r="AH80" t="s">
        <v>545</v>
      </c>
      <c r="AI80" t="s">
        <v>546</v>
      </c>
      <c r="AJ80" t="s">
        <v>547</v>
      </c>
      <c r="AK80" t="s">
        <v>548</v>
      </c>
      <c r="AL80" t="s">
        <v>549</v>
      </c>
      <c r="AM80" t="s">
        <v>550</v>
      </c>
      <c r="AN80" t="s">
        <v>551</v>
      </c>
      <c r="AO80" t="s">
        <v>552</v>
      </c>
      <c r="AP80" t="s">
        <v>553</v>
      </c>
    </row>
    <row r="81" spans="12:42" x14ac:dyDescent="0.25">
      <c r="L81" s="7"/>
      <c r="M81" s="7"/>
      <c r="N81" s="7"/>
      <c r="O81" s="7"/>
      <c r="P81" s="7"/>
      <c r="Q81" s="7"/>
      <c r="R81" s="7"/>
      <c r="S81" s="7"/>
      <c r="T81" s="7"/>
      <c r="AG81" t="str">
        <f t="shared" si="1"/>
        <v>Volný prostor nad překladem</v>
      </c>
      <c r="AH81" t="s">
        <v>412</v>
      </c>
      <c r="AI81" t="s">
        <v>413</v>
      </c>
      <c r="AJ81" t="s">
        <v>414</v>
      </c>
      <c r="AK81" t="s">
        <v>554</v>
      </c>
      <c r="AL81" t="s">
        <v>416</v>
      </c>
      <c r="AM81" t="s">
        <v>417</v>
      </c>
      <c r="AN81" t="s">
        <v>555</v>
      </c>
      <c r="AO81" t="s">
        <v>556</v>
      </c>
      <c r="AP81" t="s">
        <v>420</v>
      </c>
    </row>
    <row r="82" spans="12:42" x14ac:dyDescent="0.25">
      <c r="L82" s="7"/>
      <c r="M82" s="7"/>
      <c r="N82" s="7"/>
      <c r="O82" s="7"/>
      <c r="P82" s="207"/>
      <c r="Q82" s="207"/>
      <c r="R82" s="7"/>
      <c r="S82" s="7"/>
      <c r="T82" s="7"/>
      <c r="AG82" t="str">
        <f t="shared" si="1"/>
        <v>Osa hřídele nad překladem</v>
      </c>
      <c r="AH82" t="s">
        <v>557</v>
      </c>
      <c r="AI82" t="s">
        <v>558</v>
      </c>
      <c r="AJ82" t="s">
        <v>559</v>
      </c>
      <c r="AK82" t="s">
        <v>560</v>
      </c>
      <c r="AL82" t="s">
        <v>561</v>
      </c>
      <c r="AM82" t="s">
        <v>562</v>
      </c>
      <c r="AN82" t="s">
        <v>563</v>
      </c>
      <c r="AO82" t="s">
        <v>564</v>
      </c>
      <c r="AP82" t="s">
        <v>565</v>
      </c>
    </row>
    <row r="83" spans="12:42" x14ac:dyDescent="0.25">
      <c r="L83" s="7"/>
      <c r="M83" s="7"/>
      <c r="N83" s="7"/>
      <c r="O83" s="7"/>
      <c r="P83" s="7"/>
      <c r="Q83" s="7"/>
      <c r="R83" s="7"/>
      <c r="S83" s="7"/>
      <c r="T83" s="7"/>
      <c r="AN83"/>
      <c r="AO83"/>
      <c r="AP83"/>
    </row>
    <row r="84" spans="12:42" x14ac:dyDescent="0.25">
      <c r="AN84"/>
      <c r="AO84"/>
      <c r="AP84"/>
    </row>
    <row r="85" spans="12:42" x14ac:dyDescent="0.25">
      <c r="AG85" t="str">
        <f t="shared" si="1"/>
        <v>Sestavil:</v>
      </c>
      <c r="AH85" t="s">
        <v>566</v>
      </c>
      <c r="AI85" t="s">
        <v>567</v>
      </c>
      <c r="AJ85" t="s">
        <v>568</v>
      </c>
      <c r="AK85" t="s">
        <v>569</v>
      </c>
      <c r="AL85" t="s">
        <v>570</v>
      </c>
      <c r="AM85" t="s">
        <v>571</v>
      </c>
      <c r="AN85" t="s">
        <v>572</v>
      </c>
      <c r="AO85" t="s">
        <v>573</v>
      </c>
      <c r="AP85" t="s">
        <v>574</v>
      </c>
    </row>
    <row r="86" spans="12:42" x14ac:dyDescent="0.25">
      <c r="AG86" t="str">
        <f t="shared" si="1"/>
        <v>Upravil:</v>
      </c>
      <c r="AH86" t="s">
        <v>575</v>
      </c>
      <c r="AI86" t="s">
        <v>576</v>
      </c>
      <c r="AJ86" t="s">
        <v>577</v>
      </c>
      <c r="AK86" t="s">
        <v>578</v>
      </c>
      <c r="AL86" t="s">
        <v>579</v>
      </c>
      <c r="AM86" t="s">
        <v>580</v>
      </c>
      <c r="AN86" t="s">
        <v>581</v>
      </c>
      <c r="AO86" t="s">
        <v>582</v>
      </c>
      <c r="AP86" t="s">
        <v>583</v>
      </c>
    </row>
    <row r="87" spans="12:42" x14ac:dyDescent="0.25">
      <c r="AG87" t="str">
        <f t="shared" si="1"/>
        <v>Schváleno - datum:</v>
      </c>
      <c r="AH87" t="s">
        <v>584</v>
      </c>
      <c r="AI87" t="s">
        <v>585</v>
      </c>
      <c r="AJ87" t="s">
        <v>586</v>
      </c>
      <c r="AK87" t="s">
        <v>587</v>
      </c>
      <c r="AL87" t="s">
        <v>588</v>
      </c>
      <c r="AM87" t="s">
        <v>589</v>
      </c>
      <c r="AN87" t="s">
        <v>590</v>
      </c>
      <c r="AO87" t="s">
        <v>591</v>
      </c>
      <c r="AP87" t="s">
        <v>592</v>
      </c>
    </row>
    <row r="88" spans="12:42" x14ac:dyDescent="0.25">
      <c r="AG88" t="str">
        <f t="shared" si="1"/>
        <v>Název souboru:</v>
      </c>
      <c r="AH88" t="s">
        <v>593</v>
      </c>
      <c r="AI88" t="s">
        <v>594</v>
      </c>
      <c r="AJ88" t="s">
        <v>595</v>
      </c>
      <c r="AK88" t="s">
        <v>596</v>
      </c>
      <c r="AL88" t="s">
        <v>597</v>
      </c>
      <c r="AM88" t="s">
        <v>598</v>
      </c>
      <c r="AN88" t="s">
        <v>599</v>
      </c>
      <c r="AO88" t="s">
        <v>600</v>
      </c>
      <c r="AP88" t="s">
        <v>601</v>
      </c>
    </row>
    <row r="89" spans="12:42" x14ac:dyDescent="0.25">
      <c r="AG89" t="str">
        <f t="shared" si="1"/>
        <v>Datum:</v>
      </c>
      <c r="AH89" t="s">
        <v>602</v>
      </c>
      <c r="AI89" t="s">
        <v>603</v>
      </c>
      <c r="AJ89" t="s">
        <v>602</v>
      </c>
      <c r="AK89" t="s">
        <v>604</v>
      </c>
      <c r="AL89" t="s">
        <v>605</v>
      </c>
      <c r="AM89" t="s">
        <v>602</v>
      </c>
      <c r="AN89" t="s">
        <v>606</v>
      </c>
      <c r="AO89" t="s">
        <v>607</v>
      </c>
      <c r="AP89" t="s">
        <v>608</v>
      </c>
    </row>
    <row r="90" spans="12:42" x14ac:dyDescent="0.25">
      <c r="AG90" t="str">
        <f t="shared" si="1"/>
        <v>Měřítko</v>
      </c>
      <c r="AH90" t="s">
        <v>609</v>
      </c>
      <c r="AI90" t="s">
        <v>610</v>
      </c>
      <c r="AJ90" t="s">
        <v>611</v>
      </c>
      <c r="AK90" t="s">
        <v>612</v>
      </c>
      <c r="AL90" t="s">
        <v>613</v>
      </c>
      <c r="AM90" t="s">
        <v>614</v>
      </c>
      <c r="AN90" t="s">
        <v>615</v>
      </c>
      <c r="AO90" t="s">
        <v>616</v>
      </c>
      <c r="AP90" t="s">
        <v>617</v>
      </c>
    </row>
    <row r="91" spans="12:42" x14ac:dyDescent="0.25">
      <c r="AG91" t="str">
        <f t="shared" si="1"/>
        <v xml:space="preserve">Formát: </v>
      </c>
      <c r="AH91" t="s">
        <v>618</v>
      </c>
      <c r="AI91" t="s">
        <v>619</v>
      </c>
      <c r="AJ91" t="s">
        <v>620</v>
      </c>
      <c r="AK91" t="s">
        <v>620</v>
      </c>
      <c r="AL91" t="s">
        <v>621</v>
      </c>
      <c r="AM91" t="s">
        <v>619</v>
      </c>
      <c r="AN91" t="s">
        <v>622</v>
      </c>
      <c r="AO91" t="s">
        <v>623</v>
      </c>
      <c r="AP91" t="s">
        <v>624</v>
      </c>
    </row>
    <row r="92" spans="12:42" x14ac:dyDescent="0.25">
      <c r="AG92" t="str">
        <f t="shared" si="1"/>
        <v>STAVEBNÍ PŘIPRAVENOST                    VEDENÍ PRO VYSOKÝ PŘEKLAD (HL)</v>
      </c>
      <c r="AH92" t="s">
        <v>625</v>
      </c>
      <c r="AI92" t="s">
        <v>626</v>
      </c>
      <c r="AJ92" t="s">
        <v>627</v>
      </c>
      <c r="AK92" t="s">
        <v>628</v>
      </c>
      <c r="AL92" t="s">
        <v>629</v>
      </c>
      <c r="AM92" t="s">
        <v>630</v>
      </c>
      <c r="AN92" t="s">
        <v>631</v>
      </c>
      <c r="AO92" t="s">
        <v>632</v>
      </c>
      <c r="AP92" t="s">
        <v>633</v>
      </c>
    </row>
    <row r="93" spans="12:42" x14ac:dyDescent="0.25">
      <c r="AG93" t="str">
        <f t="shared" si="1"/>
        <v xml:space="preserve">pružiny nad překladem </v>
      </c>
      <c r="AH93" t="s">
        <v>634</v>
      </c>
      <c r="AI93" t="s">
        <v>635</v>
      </c>
      <c r="AJ93" t="s">
        <v>636</v>
      </c>
      <c r="AK93" t="s">
        <v>637</v>
      </c>
      <c r="AL93" t="s">
        <v>98</v>
      </c>
      <c r="AM93" t="s">
        <v>638</v>
      </c>
      <c r="AN93" t="s">
        <v>639</v>
      </c>
      <c r="AO93" t="s">
        <v>101</v>
      </c>
      <c r="AP93" t="s">
        <v>102</v>
      </c>
    </row>
    <row r="94" spans="12:42" x14ac:dyDescent="0.25">
      <c r="AG94" t="str">
        <f t="shared" si="1"/>
        <v>VERTIKÁLNÍ SYSTÉM</v>
      </c>
      <c r="AH94" t="s">
        <v>640</v>
      </c>
      <c r="AI94" t="s">
        <v>641</v>
      </c>
      <c r="AJ94" t="s">
        <v>642</v>
      </c>
      <c r="AK94" t="s">
        <v>643</v>
      </c>
      <c r="AL94" t="s">
        <v>644</v>
      </c>
      <c r="AM94" t="s">
        <v>645</v>
      </c>
      <c r="AN94"/>
      <c r="AO94"/>
      <c r="AP94"/>
    </row>
    <row r="95" spans="12:42" x14ac:dyDescent="0.25">
      <c r="AG95" t="str">
        <f t="shared" si="1"/>
        <v>Kód:</v>
      </c>
      <c r="AH95" t="s">
        <v>646</v>
      </c>
      <c r="AI95" t="s">
        <v>647</v>
      </c>
      <c r="AJ95" t="s">
        <v>648</v>
      </c>
      <c r="AK95" t="s">
        <v>649</v>
      </c>
      <c r="AL95" t="s">
        <v>650</v>
      </c>
      <c r="AM95" t="s">
        <v>651</v>
      </c>
      <c r="AN95" t="s">
        <v>652</v>
      </c>
      <c r="AO95" t="s">
        <v>653</v>
      </c>
      <c r="AP95" t="s">
        <v>654</v>
      </c>
    </row>
    <row r="96" spans="12:42" x14ac:dyDescent="0.25">
      <c r="AG96" t="str">
        <f t="shared" si="1"/>
        <v>Verze:</v>
      </c>
      <c r="AH96" t="s">
        <v>655</v>
      </c>
      <c r="AI96" t="s">
        <v>656</v>
      </c>
      <c r="AJ96" t="s">
        <v>656</v>
      </c>
      <c r="AK96" t="s">
        <v>657</v>
      </c>
      <c r="AL96" t="s">
        <v>658</v>
      </c>
      <c r="AM96" t="s">
        <v>659</v>
      </c>
      <c r="AN96" t="s">
        <v>660</v>
      </c>
      <c r="AO96" t="s">
        <v>661</v>
      </c>
      <c r="AP96" t="s">
        <v>662</v>
      </c>
    </row>
    <row r="97" spans="33:42" x14ac:dyDescent="0.25">
      <c r="AG97" t="str">
        <f t="shared" si="1"/>
        <v>NENÍ POŽADOVÁNO</v>
      </c>
      <c r="AH97" t="s">
        <v>663</v>
      </c>
      <c r="AI97" t="s">
        <v>664</v>
      </c>
      <c r="AJ97" t="s">
        <v>665</v>
      </c>
      <c r="AK97" t="s">
        <v>666</v>
      </c>
      <c r="AL97" t="s">
        <v>667</v>
      </c>
      <c r="AM97" t="s">
        <v>668</v>
      </c>
      <c r="AN97" t="s">
        <v>669</v>
      </c>
      <c r="AO97" t="s">
        <v>670</v>
      </c>
      <c r="AP97" t="s">
        <v>671</v>
      </c>
    </row>
    <row r="98" spans="33:42" x14ac:dyDescent="0.25">
      <c r="AN98"/>
      <c r="AO98"/>
      <c r="AP98"/>
    </row>
    <row r="99" spans="33:42" x14ac:dyDescent="0.25">
      <c r="AG99" t="str">
        <f t="shared" si="1"/>
        <v>Prosím, vyplňte pole, která jsou označena barevně!</v>
      </c>
      <c r="AH99" t="s">
        <v>672</v>
      </c>
      <c r="AI99" t="s">
        <v>673</v>
      </c>
      <c r="AJ99" t="s">
        <v>674</v>
      </c>
      <c r="AK99" t="s">
        <v>675</v>
      </c>
      <c r="AL99" t="s">
        <v>676</v>
      </c>
      <c r="AM99" t="s">
        <v>677</v>
      </c>
      <c r="AN99" t="s">
        <v>678</v>
      </c>
      <c r="AO99" t="s">
        <v>679</v>
      </c>
      <c r="AP99" t="s">
        <v>680</v>
      </c>
    </row>
    <row r="100" spans="33:42" x14ac:dyDescent="0.25">
      <c r="AN100"/>
      <c r="AO100"/>
      <c r="AP100"/>
    </row>
    <row r="101" spans="33:42" x14ac:dyDescent="0.25">
      <c r="AG101" t="str">
        <f t="shared" si="1"/>
        <v>Ovládání</v>
      </c>
      <c r="AH101" t="s">
        <v>681</v>
      </c>
      <c r="AI101" t="s">
        <v>682</v>
      </c>
      <c r="AJ101" t="s">
        <v>683</v>
      </c>
      <c r="AK101" t="s">
        <v>684</v>
      </c>
      <c r="AL101" t="s">
        <v>685</v>
      </c>
      <c r="AM101" t="s">
        <v>686</v>
      </c>
      <c r="AN101" t="s">
        <v>687</v>
      </c>
      <c r="AO101" t="s">
        <v>688</v>
      </c>
      <c r="AP101" t="s">
        <v>689</v>
      </c>
    </row>
    <row r="102" spans="33:42" x14ac:dyDescent="0.25">
      <c r="AG102" t="str">
        <f t="shared" si="1"/>
        <v>ručně</v>
      </c>
      <c r="AH102" t="s">
        <v>690</v>
      </c>
      <c r="AI102" t="s">
        <v>691</v>
      </c>
      <c r="AJ102" t="s">
        <v>692</v>
      </c>
      <c r="AK102" t="s">
        <v>693</v>
      </c>
      <c r="AL102" t="s">
        <v>694</v>
      </c>
      <c r="AM102" t="s">
        <v>692</v>
      </c>
      <c r="AN102" t="s">
        <v>695</v>
      </c>
      <c r="AO102" t="s">
        <v>696</v>
      </c>
      <c r="AP102" t="s">
        <v>697</v>
      </c>
    </row>
    <row r="103" spans="33:42" ht="22.5" customHeight="1" x14ac:dyDescent="0.25">
      <c r="AG103" t="str">
        <f t="shared" si="1"/>
        <v>elektricky</v>
      </c>
      <c r="AH103" t="s">
        <v>698</v>
      </c>
      <c r="AI103" t="s">
        <v>699</v>
      </c>
      <c r="AJ103" t="s">
        <v>700</v>
      </c>
      <c r="AK103" t="s">
        <v>701</v>
      </c>
      <c r="AL103" t="s">
        <v>702</v>
      </c>
      <c r="AM103" t="s">
        <v>700</v>
      </c>
      <c r="AN103" t="s">
        <v>703</v>
      </c>
      <c r="AO103" t="s">
        <v>704</v>
      </c>
      <c r="AP103" t="s">
        <v>524</v>
      </c>
    </row>
    <row r="104" spans="33:42" x14ac:dyDescent="0.25">
      <c r="AG104" t="str">
        <f t="shared" si="1"/>
        <v>řetězovým převodem</v>
      </c>
      <c r="AH104" t="s">
        <v>705</v>
      </c>
      <c r="AI104" t="s">
        <v>706</v>
      </c>
      <c r="AJ104" t="s">
        <v>707</v>
      </c>
      <c r="AK104" t="s">
        <v>708</v>
      </c>
      <c r="AL104" t="s">
        <v>709</v>
      </c>
      <c r="AM104" t="s">
        <v>710</v>
      </c>
      <c r="AN104" t="s">
        <v>711</v>
      </c>
      <c r="AO104" t="s">
        <v>712</v>
      </c>
      <c r="AP104" t="s">
        <v>713</v>
      </c>
    </row>
    <row r="105" spans="33:42" x14ac:dyDescent="0.25">
      <c r="AN105"/>
      <c r="AO105"/>
      <c r="AP105"/>
    </row>
    <row r="106" spans="33:42" x14ac:dyDescent="0.25">
      <c r="AG106" t="str">
        <f t="shared" si="1"/>
        <v>Umístění motoru</v>
      </c>
      <c r="AH106" t="s">
        <v>714</v>
      </c>
      <c r="AI106" t="s">
        <v>715</v>
      </c>
      <c r="AJ106" t="s">
        <v>716</v>
      </c>
      <c r="AK106" t="s">
        <v>717</v>
      </c>
      <c r="AL106" t="s">
        <v>718</v>
      </c>
      <c r="AM106" t="s">
        <v>719</v>
      </c>
      <c r="AN106" t="s">
        <v>720</v>
      </c>
      <c r="AO106" t="s">
        <v>721</v>
      </c>
      <c r="AP106" t="s">
        <v>722</v>
      </c>
    </row>
    <row r="107" spans="33:42" x14ac:dyDescent="0.25">
      <c r="AG107" t="str">
        <f t="shared" si="1"/>
        <v>Na levé straně</v>
      </c>
      <c r="AH107" t="s">
        <v>723</v>
      </c>
      <c r="AI107" t="s">
        <v>724</v>
      </c>
      <c r="AJ107" t="s">
        <v>725</v>
      </c>
      <c r="AK107" t="s">
        <v>726</v>
      </c>
      <c r="AL107" t="s">
        <v>727</v>
      </c>
      <c r="AM107" t="s">
        <v>728</v>
      </c>
      <c r="AN107" t="s">
        <v>729</v>
      </c>
      <c r="AO107" t="s">
        <v>730</v>
      </c>
      <c r="AP107" t="s">
        <v>731</v>
      </c>
    </row>
    <row r="108" spans="33:42" x14ac:dyDescent="0.25">
      <c r="AG108" t="str">
        <f t="shared" si="1"/>
        <v>Na pravé straně</v>
      </c>
      <c r="AH108" t="s">
        <v>732</v>
      </c>
      <c r="AI108" t="s">
        <v>733</v>
      </c>
      <c r="AJ108" t="s">
        <v>734</v>
      </c>
      <c r="AK108" t="s">
        <v>735</v>
      </c>
      <c r="AL108" t="s">
        <v>736</v>
      </c>
      <c r="AM108" t="s">
        <v>737</v>
      </c>
      <c r="AN108" t="s">
        <v>738</v>
      </c>
      <c r="AO108" t="s">
        <v>739</v>
      </c>
      <c r="AP108" t="s">
        <v>740</v>
      </c>
    </row>
    <row r="109" spans="33:42" x14ac:dyDescent="0.25">
      <c r="AN109"/>
      <c r="AO109"/>
      <c r="AP109"/>
    </row>
    <row r="110" spans="33:42" x14ac:dyDescent="0.25">
      <c r="AG110" t="str">
        <f t="shared" si="1"/>
        <v>Variantní  montáž pružin</v>
      </c>
      <c r="AH110" t="s">
        <v>741</v>
      </c>
      <c r="AI110" t="s">
        <v>742</v>
      </c>
      <c r="AJ110" t="s">
        <v>743</v>
      </c>
      <c r="AK110" t="s">
        <v>744</v>
      </c>
      <c r="AL110" t="s">
        <v>745</v>
      </c>
      <c r="AM110" t="s">
        <v>746</v>
      </c>
      <c r="AN110"/>
      <c r="AO110"/>
      <c r="AP110"/>
    </row>
    <row r="111" spans="33:42" x14ac:dyDescent="0.25">
      <c r="AG111" t="str">
        <f t="shared" si="1"/>
        <v>když B&lt;2000 - STP-1 pružina (SPR-1)</v>
      </c>
      <c r="AH111" t="s">
        <v>747</v>
      </c>
      <c r="AI111" t="s">
        <v>748</v>
      </c>
      <c r="AJ111" t="s">
        <v>749</v>
      </c>
      <c r="AK111" t="s">
        <v>750</v>
      </c>
      <c r="AL111" t="s">
        <v>751</v>
      </c>
      <c r="AM111" t="s">
        <v>752</v>
      </c>
      <c r="AN111"/>
      <c r="AO111"/>
      <c r="AP111"/>
    </row>
    <row r="112" spans="33:42" x14ac:dyDescent="0.25">
      <c r="AG112" t="str">
        <f t="shared" si="1"/>
        <v>když 2000&gt;=W&lt;6000 - STP-2 pružiny (SPR-2)</v>
      </c>
      <c r="AH112" t="s">
        <v>753</v>
      </c>
      <c r="AI112" t="s">
        <v>754</v>
      </c>
      <c r="AJ112" t="s">
        <v>755</v>
      </c>
      <c r="AK112" t="s">
        <v>756</v>
      </c>
      <c r="AL112" t="s">
        <v>757</v>
      </c>
      <c r="AM112" t="s">
        <v>758</v>
      </c>
      <c r="AN112"/>
      <c r="AO112"/>
      <c r="AP112"/>
    </row>
    <row r="113" spans="33:42" x14ac:dyDescent="0.25">
      <c r="AG113" t="str">
        <f t="shared" si="1"/>
        <v>když W&gt;=6000 = STP-4 pružiny (SPR-4)</v>
      </c>
      <c r="AH113" t="s">
        <v>759</v>
      </c>
      <c r="AI113" t="s">
        <v>760</v>
      </c>
      <c r="AJ113" t="s">
        <v>761</v>
      </c>
      <c r="AK113" t="s">
        <v>762</v>
      </c>
      <c r="AL113" t="s">
        <v>763</v>
      </c>
      <c r="AM113" t="s">
        <v>764</v>
      </c>
      <c r="AN113"/>
      <c r="AO113"/>
      <c r="AP113"/>
    </row>
    <row r="114" spans="33:42" x14ac:dyDescent="0.25">
      <c r="AN114"/>
      <c r="AO114"/>
      <c r="AP114"/>
    </row>
    <row r="115" spans="33:42" x14ac:dyDescent="0.25">
      <c r="AG115" t="str">
        <f t="shared" si="1"/>
        <v>Typ panelu</v>
      </c>
      <c r="AH115" t="s">
        <v>765</v>
      </c>
      <c r="AI115" t="s">
        <v>766</v>
      </c>
      <c r="AJ115" t="s">
        <v>767</v>
      </c>
      <c r="AK115" t="s">
        <v>768</v>
      </c>
      <c r="AL115" t="s">
        <v>769</v>
      </c>
      <c r="AM115" t="s">
        <v>770</v>
      </c>
      <c r="AN115" t="s">
        <v>771</v>
      </c>
      <c r="AO115" t="s">
        <v>772</v>
      </c>
      <c r="AP115" t="s">
        <v>773</v>
      </c>
    </row>
    <row r="116" spans="33:42" x14ac:dyDescent="0.25">
      <c r="AG116" t="str">
        <f t="shared" si="1"/>
        <v>40mm</v>
      </c>
      <c r="AH116" t="s">
        <v>774</v>
      </c>
      <c r="AI116" t="s">
        <v>774</v>
      </c>
      <c r="AJ116" t="s">
        <v>774</v>
      </c>
      <c r="AK116" t="s">
        <v>774</v>
      </c>
      <c r="AL116" t="s">
        <v>774</v>
      </c>
      <c r="AM116" t="s">
        <v>774</v>
      </c>
      <c r="AN116" t="s">
        <v>775</v>
      </c>
      <c r="AO116" t="s">
        <v>774</v>
      </c>
      <c r="AP116" t="s">
        <v>776</v>
      </c>
    </row>
    <row r="117" spans="33:42" x14ac:dyDescent="0.25">
      <c r="AG117" t="str">
        <f t="shared" si="1"/>
        <v>80mm</v>
      </c>
      <c r="AH117" t="s">
        <v>777</v>
      </c>
      <c r="AI117" t="s">
        <v>777</v>
      </c>
      <c r="AJ117" t="s">
        <v>777</v>
      </c>
      <c r="AK117" t="s">
        <v>777</v>
      </c>
      <c r="AL117" t="s">
        <v>777</v>
      </c>
      <c r="AM117" t="s">
        <v>777</v>
      </c>
      <c r="AN117" t="s">
        <v>778</v>
      </c>
      <c r="AO117" t="s">
        <v>777</v>
      </c>
      <c r="AP117" t="s">
        <v>779</v>
      </c>
    </row>
    <row r="118" spans="33:42" x14ac:dyDescent="0.25">
      <c r="AN118"/>
      <c r="AO118"/>
      <c r="AP118"/>
    </row>
    <row r="119" spans="33:42" x14ac:dyDescent="0.25">
      <c r="AG119" t="str">
        <f t="shared" si="1"/>
        <v>Když 1 1/4" hřídel, tak překlad automaticky HL+360 a osa hřídele HL+210 mm</v>
      </c>
      <c r="AH119" t="s">
        <v>780</v>
      </c>
      <c r="AI119" t="s">
        <v>781</v>
      </c>
      <c r="AJ119" t="s">
        <v>782</v>
      </c>
      <c r="AK119" t="s">
        <v>783</v>
      </c>
      <c r="AL119" t="s">
        <v>784</v>
      </c>
      <c r="AM119" t="s">
        <v>785</v>
      </c>
      <c r="AN119" t="s">
        <v>786</v>
      </c>
      <c r="AO119" t="s">
        <v>787</v>
      </c>
      <c r="AP119" t="s">
        <v>788</v>
      </c>
    </row>
    <row r="120" spans="33:42" x14ac:dyDescent="0.25">
      <c r="AN120"/>
      <c r="AO120"/>
      <c r="AP120"/>
    </row>
    <row r="121" spans="33:42" x14ac:dyDescent="0.25">
      <c r="AG121" t="str">
        <f t="shared" si="1"/>
        <v>Typ vedení</v>
      </c>
      <c r="AH121" t="s">
        <v>789</v>
      </c>
      <c r="AI121" t="s">
        <v>790</v>
      </c>
      <c r="AJ121" t="s">
        <v>791</v>
      </c>
      <c r="AK121" t="s">
        <v>792</v>
      </c>
      <c r="AL121" t="s">
        <v>793</v>
      </c>
      <c r="AM121" t="s">
        <v>794</v>
      </c>
      <c r="AN121" t="s">
        <v>795</v>
      </c>
      <c r="AO121" t="s">
        <v>796</v>
      </c>
      <c r="AP121" t="s">
        <v>797</v>
      </c>
    </row>
    <row r="122" spans="33:42" x14ac:dyDescent="0.25">
      <c r="AG122" t="str">
        <f t="shared" si="1"/>
        <v>2"</v>
      </c>
      <c r="AH122" t="s">
        <v>798</v>
      </c>
      <c r="AI122" t="s">
        <v>798</v>
      </c>
      <c r="AJ122" t="s">
        <v>798</v>
      </c>
      <c r="AK122" t="s">
        <v>798</v>
      </c>
      <c r="AL122" t="s">
        <v>798</v>
      </c>
      <c r="AM122" t="s">
        <v>798</v>
      </c>
      <c r="AN122" t="s">
        <v>798</v>
      </c>
      <c r="AO122" t="s">
        <v>798</v>
      </c>
      <c r="AP122" t="s">
        <v>798</v>
      </c>
    </row>
    <row r="123" spans="33:42" x14ac:dyDescent="0.25">
      <c r="AG123" t="str">
        <f t="shared" si="1"/>
        <v>3"</v>
      </c>
      <c r="AH123" t="s">
        <v>799</v>
      </c>
      <c r="AI123" t="s">
        <v>799</v>
      </c>
      <c r="AJ123" t="s">
        <v>799</v>
      </c>
      <c r="AK123" t="s">
        <v>799</v>
      </c>
      <c r="AL123" t="s">
        <v>799</v>
      </c>
      <c r="AM123" t="s">
        <v>799</v>
      </c>
      <c r="AN123" t="s">
        <v>799</v>
      </c>
      <c r="AO123" t="s">
        <v>799</v>
      </c>
      <c r="AP123" t="s">
        <v>799</v>
      </c>
    </row>
    <row r="124" spans="33:42" x14ac:dyDescent="0.25">
      <c r="AN124"/>
      <c r="AO124"/>
      <c r="AP124"/>
    </row>
    <row r="125" spans="33:42" x14ac:dyDescent="0.25">
      <c r="AG125" t="str">
        <f>VLOOKUP(AH125,AH125:AR219,$AE$1,FALSE)</f>
        <v>RÁM - VEDENÍ PRO VYSOKÝ PŘEKLAD (HL)</v>
      </c>
      <c r="AH125" t="s">
        <v>800</v>
      </c>
      <c r="AI125" t="s">
        <v>801</v>
      </c>
      <c r="AJ125" t="s">
        <v>802</v>
      </c>
      <c r="AK125" t="s">
        <v>803</v>
      </c>
      <c r="AL125" t="s">
        <v>804</v>
      </c>
      <c r="AM125" t="s">
        <v>805</v>
      </c>
      <c r="AN125" t="s">
        <v>806</v>
      </c>
      <c r="AO125" t="s">
        <v>807</v>
      </c>
      <c r="AP125" t="s">
        <v>808</v>
      </c>
    </row>
    <row r="126" spans="33:42" x14ac:dyDescent="0.25">
      <c r="AN126"/>
      <c r="AO126"/>
      <c r="AP126"/>
    </row>
    <row r="127" spans="33:42" x14ac:dyDescent="0.25">
      <c r="AN127"/>
      <c r="AO127"/>
      <c r="AP127"/>
    </row>
    <row r="128" spans="33:42" x14ac:dyDescent="0.25">
      <c r="AN128"/>
      <c r="AO128"/>
      <c r="AP128"/>
    </row>
    <row r="129" spans="40:42" x14ac:dyDescent="0.25">
      <c r="AN129"/>
      <c r="AO129"/>
      <c r="AP129"/>
    </row>
    <row r="130" spans="40:42" x14ac:dyDescent="0.25">
      <c r="AN130"/>
      <c r="AO130"/>
      <c r="AP130"/>
    </row>
    <row r="131" spans="40:42" x14ac:dyDescent="0.25">
      <c r="AN131"/>
      <c r="AO131"/>
      <c r="AP131"/>
    </row>
    <row r="132" spans="40:42" x14ac:dyDescent="0.25">
      <c r="AN132"/>
      <c r="AO132"/>
      <c r="AP132"/>
    </row>
    <row r="133" spans="40:42" x14ac:dyDescent="0.25">
      <c r="AN133"/>
      <c r="AO133"/>
      <c r="AP133"/>
    </row>
    <row r="134" spans="40:42" x14ac:dyDescent="0.25">
      <c r="AN134"/>
      <c r="AO134"/>
      <c r="AP134"/>
    </row>
    <row r="135" spans="40:42" x14ac:dyDescent="0.25">
      <c r="AN135"/>
      <c r="AO135"/>
      <c r="AP135"/>
    </row>
    <row r="136" spans="40:42" x14ac:dyDescent="0.25">
      <c r="AN136"/>
      <c r="AO136"/>
      <c r="AP136"/>
    </row>
    <row r="137" spans="40:42" x14ac:dyDescent="0.25">
      <c r="AN137"/>
      <c r="AO137"/>
      <c r="AP137"/>
    </row>
    <row r="138" spans="40:42" x14ac:dyDescent="0.25">
      <c r="AN138"/>
      <c r="AO138"/>
      <c r="AP138"/>
    </row>
    <row r="139" spans="40:42" x14ac:dyDescent="0.25">
      <c r="AN139"/>
      <c r="AO139"/>
      <c r="AP139"/>
    </row>
    <row r="140" spans="40:42" x14ac:dyDescent="0.25">
      <c r="AN140"/>
      <c r="AO140"/>
      <c r="AP140"/>
    </row>
    <row r="141" spans="40:42" x14ac:dyDescent="0.25">
      <c r="AN141"/>
      <c r="AO141"/>
      <c r="AP141"/>
    </row>
    <row r="142" spans="40:42" x14ac:dyDescent="0.25">
      <c r="AN142"/>
      <c r="AO142"/>
      <c r="AP142"/>
    </row>
    <row r="143" spans="40:42" x14ac:dyDescent="0.25">
      <c r="AN143"/>
      <c r="AO143"/>
      <c r="AP143"/>
    </row>
    <row r="144" spans="40:42" x14ac:dyDescent="0.25">
      <c r="AN144"/>
      <c r="AO144"/>
      <c r="AP144"/>
    </row>
    <row r="145" spans="40:42" x14ac:dyDescent="0.25">
      <c r="AN145"/>
      <c r="AO145"/>
      <c r="AP145"/>
    </row>
    <row r="146" spans="40:42" x14ac:dyDescent="0.25">
      <c r="AN146"/>
      <c r="AO146"/>
      <c r="AP146"/>
    </row>
    <row r="147" spans="40:42" x14ac:dyDescent="0.25">
      <c r="AN147"/>
      <c r="AO147"/>
      <c r="AP147"/>
    </row>
    <row r="148" spans="40:42" x14ac:dyDescent="0.25">
      <c r="AN148"/>
      <c r="AO148"/>
      <c r="AP148"/>
    </row>
    <row r="149" spans="40:42" x14ac:dyDescent="0.25">
      <c r="AN149"/>
      <c r="AO149"/>
      <c r="AP149"/>
    </row>
    <row r="150" spans="40:42" x14ac:dyDescent="0.25">
      <c r="AN150"/>
      <c r="AO150"/>
      <c r="AP150"/>
    </row>
    <row r="151" spans="40:42" x14ac:dyDescent="0.25">
      <c r="AN151"/>
      <c r="AO151"/>
      <c r="AP151"/>
    </row>
    <row r="152" spans="40:42" x14ac:dyDescent="0.25">
      <c r="AN152"/>
      <c r="AO152"/>
      <c r="AP152"/>
    </row>
    <row r="153" spans="40:42" x14ac:dyDescent="0.25">
      <c r="AN153"/>
      <c r="AO153"/>
      <c r="AP153"/>
    </row>
    <row r="154" spans="40:42" x14ac:dyDescent="0.25">
      <c r="AN154"/>
      <c r="AO154"/>
      <c r="AP154"/>
    </row>
    <row r="155" spans="40:42" x14ac:dyDescent="0.25">
      <c r="AN155"/>
      <c r="AO155"/>
      <c r="AP155"/>
    </row>
    <row r="156" spans="40:42" x14ac:dyDescent="0.25">
      <c r="AN156"/>
      <c r="AO156"/>
      <c r="AP156"/>
    </row>
    <row r="157" spans="40:42" x14ac:dyDescent="0.25">
      <c r="AN157"/>
      <c r="AO157"/>
      <c r="AP157"/>
    </row>
    <row r="158" spans="40:42" x14ac:dyDescent="0.25">
      <c r="AN158"/>
      <c r="AO158"/>
      <c r="AP158"/>
    </row>
    <row r="159" spans="40:42" x14ac:dyDescent="0.25">
      <c r="AN159"/>
      <c r="AO159"/>
      <c r="AP159"/>
    </row>
    <row r="160" spans="40:42" x14ac:dyDescent="0.25">
      <c r="AN160"/>
      <c r="AO160"/>
      <c r="AP160"/>
    </row>
    <row r="161" spans="40:42" x14ac:dyDescent="0.25">
      <c r="AN161"/>
      <c r="AO161"/>
      <c r="AP161"/>
    </row>
    <row r="162" spans="40:42" x14ac:dyDescent="0.25">
      <c r="AN162"/>
      <c r="AO162"/>
      <c r="AP162"/>
    </row>
    <row r="163" spans="40:42" x14ac:dyDescent="0.25">
      <c r="AN163"/>
      <c r="AO163"/>
      <c r="AP163"/>
    </row>
    <row r="164" spans="40:42" x14ac:dyDescent="0.25">
      <c r="AN164"/>
      <c r="AO164"/>
      <c r="AP164"/>
    </row>
    <row r="165" spans="40:42" x14ac:dyDescent="0.25">
      <c r="AN165"/>
      <c r="AO165"/>
      <c r="AP165"/>
    </row>
    <row r="166" spans="40:42" x14ac:dyDescent="0.25">
      <c r="AN166"/>
      <c r="AO166"/>
      <c r="AP166"/>
    </row>
    <row r="167" spans="40:42" x14ac:dyDescent="0.25">
      <c r="AN167"/>
      <c r="AO167"/>
      <c r="AP167"/>
    </row>
    <row r="168" spans="40:42" x14ac:dyDescent="0.25">
      <c r="AN168"/>
      <c r="AO168"/>
      <c r="AP168"/>
    </row>
    <row r="169" spans="40:42" x14ac:dyDescent="0.25">
      <c r="AN169"/>
      <c r="AO169"/>
      <c r="AP169"/>
    </row>
    <row r="170" spans="40:42" x14ac:dyDescent="0.25">
      <c r="AN170"/>
      <c r="AO170"/>
      <c r="AP170"/>
    </row>
    <row r="171" spans="40:42" x14ac:dyDescent="0.25">
      <c r="AN171"/>
      <c r="AO171"/>
      <c r="AP171"/>
    </row>
    <row r="172" spans="40:42" x14ac:dyDescent="0.25">
      <c r="AN172"/>
      <c r="AO172"/>
      <c r="AP172"/>
    </row>
    <row r="173" spans="40:42" x14ac:dyDescent="0.25">
      <c r="AN173"/>
      <c r="AO173"/>
      <c r="AP173"/>
    </row>
    <row r="174" spans="40:42" x14ac:dyDescent="0.25">
      <c r="AN174"/>
      <c r="AO174"/>
      <c r="AP174"/>
    </row>
    <row r="175" spans="40:42" x14ac:dyDescent="0.25">
      <c r="AN175"/>
      <c r="AO175"/>
      <c r="AP175"/>
    </row>
    <row r="176" spans="40:42" x14ac:dyDescent="0.25">
      <c r="AN176"/>
      <c r="AO176"/>
      <c r="AP176"/>
    </row>
    <row r="177" spans="40:42" x14ac:dyDescent="0.25">
      <c r="AN177"/>
      <c r="AO177"/>
      <c r="AP177"/>
    </row>
    <row r="178" spans="40:42" x14ac:dyDescent="0.25">
      <c r="AN178"/>
      <c r="AO178"/>
      <c r="AP178"/>
    </row>
    <row r="179" spans="40:42" x14ac:dyDescent="0.25">
      <c r="AN179"/>
      <c r="AO179"/>
      <c r="AP179"/>
    </row>
    <row r="180" spans="40:42" x14ac:dyDescent="0.25">
      <c r="AN180"/>
      <c r="AO180"/>
      <c r="AP180"/>
    </row>
    <row r="181" spans="40:42" x14ac:dyDescent="0.25">
      <c r="AN181"/>
      <c r="AO181"/>
      <c r="AP181"/>
    </row>
    <row r="182" spans="40:42" x14ac:dyDescent="0.25">
      <c r="AN182"/>
      <c r="AO182"/>
      <c r="AP182"/>
    </row>
    <row r="183" spans="40:42" x14ac:dyDescent="0.25">
      <c r="AN183"/>
      <c r="AO183"/>
      <c r="AP183"/>
    </row>
    <row r="184" spans="40:42" x14ac:dyDescent="0.25">
      <c r="AN184"/>
      <c r="AO184"/>
      <c r="AP184"/>
    </row>
    <row r="185" spans="40:42" x14ac:dyDescent="0.25">
      <c r="AN185"/>
      <c r="AO185"/>
      <c r="AP185"/>
    </row>
    <row r="186" spans="40:42" x14ac:dyDescent="0.25">
      <c r="AN186"/>
      <c r="AO186"/>
      <c r="AP186"/>
    </row>
    <row r="187" spans="40:42" x14ac:dyDescent="0.25">
      <c r="AN187"/>
      <c r="AO187"/>
      <c r="AP187"/>
    </row>
    <row r="188" spans="40:42" x14ac:dyDescent="0.25">
      <c r="AN188"/>
      <c r="AO188"/>
      <c r="AP188"/>
    </row>
    <row r="189" spans="40:42" x14ac:dyDescent="0.25">
      <c r="AN189"/>
      <c r="AO189"/>
      <c r="AP189"/>
    </row>
    <row r="190" spans="40:42" x14ac:dyDescent="0.25">
      <c r="AN190"/>
      <c r="AO190"/>
      <c r="AP190"/>
    </row>
    <row r="191" spans="40:42" x14ac:dyDescent="0.25">
      <c r="AN191"/>
      <c r="AO191"/>
      <c r="AP191"/>
    </row>
    <row r="192" spans="40:42" x14ac:dyDescent="0.25">
      <c r="AN192"/>
      <c r="AO192"/>
      <c r="AP192"/>
    </row>
    <row r="193" spans="40:42" x14ac:dyDescent="0.25">
      <c r="AN193"/>
      <c r="AO193"/>
      <c r="AP193"/>
    </row>
    <row r="194" spans="40:42" x14ac:dyDescent="0.25">
      <c r="AN194"/>
      <c r="AO194"/>
      <c r="AP194"/>
    </row>
    <row r="195" spans="40:42" x14ac:dyDescent="0.25">
      <c r="AN195"/>
      <c r="AO195"/>
      <c r="AP195"/>
    </row>
    <row r="196" spans="40:42" x14ac:dyDescent="0.25">
      <c r="AN196"/>
      <c r="AO196"/>
      <c r="AP196"/>
    </row>
    <row r="197" spans="40:42" x14ac:dyDescent="0.25">
      <c r="AN197"/>
      <c r="AO197"/>
      <c r="AP197"/>
    </row>
    <row r="198" spans="40:42" x14ac:dyDescent="0.25">
      <c r="AN198"/>
      <c r="AO198"/>
      <c r="AP198"/>
    </row>
    <row r="199" spans="40:42" x14ac:dyDescent="0.25">
      <c r="AN199"/>
      <c r="AO199"/>
      <c r="AP199"/>
    </row>
    <row r="200" spans="40:42" x14ac:dyDescent="0.25">
      <c r="AN200"/>
      <c r="AO200"/>
      <c r="AP200"/>
    </row>
    <row r="201" spans="40:42" x14ac:dyDescent="0.25">
      <c r="AN201"/>
      <c r="AO201"/>
      <c r="AP201"/>
    </row>
    <row r="202" spans="40:42" x14ac:dyDescent="0.25">
      <c r="AN202"/>
      <c r="AO202"/>
      <c r="AP202"/>
    </row>
    <row r="203" spans="40:42" x14ac:dyDescent="0.25">
      <c r="AN203"/>
      <c r="AO203"/>
      <c r="AP203"/>
    </row>
    <row r="204" spans="40:42" x14ac:dyDescent="0.25">
      <c r="AN204"/>
      <c r="AO204"/>
      <c r="AP204"/>
    </row>
    <row r="205" spans="40:42" x14ac:dyDescent="0.25">
      <c r="AN205"/>
      <c r="AO205"/>
      <c r="AP205"/>
    </row>
    <row r="206" spans="40:42" x14ac:dyDescent="0.25">
      <c r="AN206"/>
      <c r="AO206"/>
      <c r="AP206"/>
    </row>
    <row r="207" spans="40:42" x14ac:dyDescent="0.25">
      <c r="AN207"/>
      <c r="AO207"/>
      <c r="AP207"/>
    </row>
    <row r="208" spans="40:42" x14ac:dyDescent="0.25">
      <c r="AN208"/>
      <c r="AO208"/>
      <c r="AP208"/>
    </row>
    <row r="209" spans="40:42" x14ac:dyDescent="0.25">
      <c r="AN209"/>
      <c r="AO209"/>
      <c r="AP209"/>
    </row>
    <row r="210" spans="40:42" x14ac:dyDescent="0.25">
      <c r="AN210"/>
      <c r="AO210"/>
      <c r="AP210"/>
    </row>
    <row r="211" spans="40:42" x14ac:dyDescent="0.25">
      <c r="AN211"/>
      <c r="AO211"/>
      <c r="AP211"/>
    </row>
    <row r="212" spans="40:42" x14ac:dyDescent="0.25">
      <c r="AN212"/>
      <c r="AO212"/>
      <c r="AP212"/>
    </row>
    <row r="213" spans="40:42" x14ac:dyDescent="0.25">
      <c r="AN213"/>
      <c r="AO213"/>
      <c r="AP213"/>
    </row>
    <row r="214" spans="40:42" x14ac:dyDescent="0.25">
      <c r="AN214"/>
      <c r="AO214"/>
      <c r="AP214"/>
    </row>
    <row r="215" spans="40:42" x14ac:dyDescent="0.25">
      <c r="AN215"/>
      <c r="AO215"/>
      <c r="AP215"/>
    </row>
    <row r="216" spans="40:42" x14ac:dyDescent="0.25">
      <c r="AN216"/>
      <c r="AO216"/>
      <c r="AP216"/>
    </row>
    <row r="217" spans="40:42" x14ac:dyDescent="0.25">
      <c r="AN217"/>
      <c r="AO217"/>
      <c r="AP217"/>
    </row>
    <row r="218" spans="40:42" x14ac:dyDescent="0.25">
      <c r="AN218"/>
      <c r="AO218"/>
      <c r="AP218"/>
    </row>
    <row r="219" spans="40:42" x14ac:dyDescent="0.25">
      <c r="AN219"/>
      <c r="AO219"/>
      <c r="AP219"/>
    </row>
    <row r="220" spans="40:42" x14ac:dyDescent="0.25">
      <c r="AN220"/>
      <c r="AO220"/>
      <c r="AP220"/>
    </row>
    <row r="221" spans="40:42" x14ac:dyDescent="0.25">
      <c r="AN221"/>
      <c r="AO221"/>
      <c r="AP221"/>
    </row>
    <row r="222" spans="40:42" x14ac:dyDescent="0.25">
      <c r="AN222"/>
      <c r="AO222"/>
      <c r="AP222"/>
    </row>
    <row r="223" spans="40:42" x14ac:dyDescent="0.25">
      <c r="AN223"/>
      <c r="AO223"/>
      <c r="AP223"/>
    </row>
    <row r="224" spans="40:42" x14ac:dyDescent="0.25">
      <c r="AN224"/>
      <c r="AO224"/>
      <c r="AP224"/>
    </row>
    <row r="225" spans="34:98" x14ac:dyDescent="0.25">
      <c r="AN225"/>
      <c r="AO225"/>
      <c r="AP225"/>
    </row>
    <row r="226" spans="34:98" x14ac:dyDescent="0.25">
      <c r="AN226"/>
      <c r="AO226"/>
      <c r="AP226"/>
    </row>
    <row r="227" spans="34:98" x14ac:dyDescent="0.25">
      <c r="AN227"/>
      <c r="AO227"/>
      <c r="AP227"/>
    </row>
    <row r="228" spans="34:98" x14ac:dyDescent="0.25">
      <c r="AN228"/>
      <c r="AO228"/>
      <c r="AP228"/>
    </row>
    <row r="229" spans="34:98" x14ac:dyDescent="0.25">
      <c r="AN229"/>
      <c r="AO229"/>
      <c r="AP229"/>
    </row>
    <row r="230" spans="34:98" x14ac:dyDescent="0.25">
      <c r="AN230"/>
      <c r="AO230"/>
      <c r="AP230"/>
    </row>
    <row r="231" spans="34:98" x14ac:dyDescent="0.25">
      <c r="AN231"/>
      <c r="AO231"/>
      <c r="AP231"/>
    </row>
    <row r="232" spans="34:98" x14ac:dyDescent="0.25">
      <c r="AN232"/>
      <c r="AO232"/>
      <c r="AP232"/>
    </row>
    <row r="233" spans="34:98" x14ac:dyDescent="0.25">
      <c r="AN233"/>
      <c r="AO233"/>
      <c r="AP233"/>
    </row>
    <row r="234" spans="34:98" x14ac:dyDescent="0.25">
      <c r="AN234"/>
      <c r="AO234"/>
      <c r="AP234"/>
    </row>
    <row r="235" spans="34:98" x14ac:dyDescent="0.25">
      <c r="AN235"/>
      <c r="AO235"/>
      <c r="AP235"/>
    </row>
    <row r="236" spans="34:98" x14ac:dyDescent="0.25">
      <c r="AN236"/>
      <c r="AO236"/>
      <c r="AP236"/>
    </row>
    <row r="237" spans="34:98" x14ac:dyDescent="0.25">
      <c r="AN237"/>
      <c r="AO237"/>
      <c r="AP237"/>
    </row>
    <row r="238" spans="34:98" x14ac:dyDescent="0.25"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</row>
    <row r="239" spans="34:98" x14ac:dyDescent="0.25">
      <c r="AN239"/>
      <c r="AO239"/>
      <c r="AP239"/>
    </row>
    <row r="240" spans="34:98" x14ac:dyDescent="0.25">
      <c r="AN240"/>
      <c r="AO240"/>
      <c r="AP240"/>
    </row>
    <row r="241" spans="40:42" x14ac:dyDescent="0.25">
      <c r="AN241"/>
      <c r="AO241"/>
      <c r="AP241"/>
    </row>
    <row r="242" spans="40:42" x14ac:dyDescent="0.25">
      <c r="AN242"/>
      <c r="AO242"/>
      <c r="AP242"/>
    </row>
    <row r="243" spans="40:42" x14ac:dyDescent="0.25">
      <c r="AN243"/>
      <c r="AO243"/>
      <c r="AP243"/>
    </row>
    <row r="244" spans="40:42" x14ac:dyDescent="0.25">
      <c r="AN244"/>
      <c r="AO244"/>
      <c r="AP244"/>
    </row>
    <row r="245" spans="40:42" x14ac:dyDescent="0.25">
      <c r="AN245"/>
      <c r="AO245"/>
      <c r="AP245"/>
    </row>
    <row r="246" spans="40:42" x14ac:dyDescent="0.25">
      <c r="AN246"/>
      <c r="AO246"/>
      <c r="AP246"/>
    </row>
    <row r="247" spans="40:42" x14ac:dyDescent="0.25">
      <c r="AN247"/>
      <c r="AO247"/>
      <c r="AP247"/>
    </row>
    <row r="248" spans="40:42" x14ac:dyDescent="0.25">
      <c r="AN248"/>
      <c r="AO248"/>
      <c r="AP248"/>
    </row>
    <row r="249" spans="40:42" x14ac:dyDescent="0.25">
      <c r="AN249"/>
      <c r="AO249"/>
      <c r="AP249"/>
    </row>
    <row r="250" spans="40:42" x14ac:dyDescent="0.25">
      <c r="AN250"/>
      <c r="AO250"/>
      <c r="AP250"/>
    </row>
    <row r="251" spans="40:42" x14ac:dyDescent="0.25">
      <c r="AN251"/>
      <c r="AO251"/>
      <c r="AP251"/>
    </row>
    <row r="252" spans="40:42" x14ac:dyDescent="0.25">
      <c r="AN252"/>
      <c r="AO252"/>
      <c r="AP252"/>
    </row>
    <row r="253" spans="40:42" x14ac:dyDescent="0.25">
      <c r="AN253"/>
      <c r="AO253"/>
      <c r="AP253"/>
    </row>
    <row r="254" spans="40:42" x14ac:dyDescent="0.25">
      <c r="AN254"/>
      <c r="AO254"/>
      <c r="AP254"/>
    </row>
    <row r="255" spans="40:42" x14ac:dyDescent="0.25">
      <c r="AN255"/>
      <c r="AO255"/>
      <c r="AP255"/>
    </row>
    <row r="256" spans="40:42" x14ac:dyDescent="0.25">
      <c r="AN256"/>
      <c r="AO256"/>
      <c r="AP256"/>
    </row>
    <row r="257" spans="40:42" x14ac:dyDescent="0.25">
      <c r="AN257"/>
      <c r="AO257"/>
      <c r="AP257"/>
    </row>
    <row r="258" spans="40:42" x14ac:dyDescent="0.25">
      <c r="AN258"/>
      <c r="AO258"/>
      <c r="AP258"/>
    </row>
    <row r="259" spans="40:42" x14ac:dyDescent="0.25">
      <c r="AN259"/>
      <c r="AO259"/>
      <c r="AP259"/>
    </row>
    <row r="260" spans="40:42" x14ac:dyDescent="0.25">
      <c r="AN260"/>
      <c r="AO260"/>
      <c r="AP260"/>
    </row>
    <row r="261" spans="40:42" x14ac:dyDescent="0.25">
      <c r="AN261"/>
      <c r="AO261"/>
      <c r="AP261"/>
    </row>
    <row r="262" spans="40:42" x14ac:dyDescent="0.25">
      <c r="AN262"/>
      <c r="AO262"/>
      <c r="AP262"/>
    </row>
    <row r="263" spans="40:42" x14ac:dyDescent="0.25">
      <c r="AN263"/>
      <c r="AO263"/>
      <c r="AP263"/>
    </row>
    <row r="264" spans="40:42" x14ac:dyDescent="0.25">
      <c r="AN264"/>
      <c r="AO264"/>
      <c r="AP264"/>
    </row>
    <row r="265" spans="40:42" x14ac:dyDescent="0.25">
      <c r="AN265"/>
      <c r="AO265"/>
      <c r="AP265"/>
    </row>
    <row r="266" spans="40:42" x14ac:dyDescent="0.25">
      <c r="AN266"/>
      <c r="AO266"/>
      <c r="AP266"/>
    </row>
    <row r="267" spans="40:42" x14ac:dyDescent="0.25">
      <c r="AN267"/>
      <c r="AO267"/>
      <c r="AP267"/>
    </row>
    <row r="268" spans="40:42" x14ac:dyDescent="0.25">
      <c r="AN268"/>
      <c r="AO268"/>
      <c r="AP268"/>
    </row>
    <row r="269" spans="40:42" x14ac:dyDescent="0.25">
      <c r="AN269"/>
      <c r="AO269"/>
      <c r="AP269"/>
    </row>
    <row r="270" spans="40:42" x14ac:dyDescent="0.25">
      <c r="AN270"/>
      <c r="AO270"/>
      <c r="AP270"/>
    </row>
    <row r="271" spans="40:42" x14ac:dyDescent="0.25">
      <c r="AN271"/>
      <c r="AO271"/>
      <c r="AP271"/>
    </row>
    <row r="272" spans="40:42" x14ac:dyDescent="0.25">
      <c r="AN272"/>
      <c r="AO272"/>
      <c r="AP272"/>
    </row>
    <row r="273" spans="40:42" x14ac:dyDescent="0.25">
      <c r="AN273"/>
      <c r="AO273"/>
      <c r="AP273"/>
    </row>
    <row r="274" spans="40:42" x14ac:dyDescent="0.25">
      <c r="AN274"/>
      <c r="AO274"/>
      <c r="AP274"/>
    </row>
    <row r="275" spans="40:42" x14ac:dyDescent="0.25">
      <c r="AN275"/>
      <c r="AO275"/>
      <c r="AP275"/>
    </row>
    <row r="276" spans="40:42" x14ac:dyDescent="0.25">
      <c r="AN276"/>
      <c r="AO276"/>
      <c r="AP276"/>
    </row>
    <row r="277" spans="40:42" x14ac:dyDescent="0.25">
      <c r="AN277"/>
      <c r="AO277"/>
      <c r="AP277"/>
    </row>
    <row r="278" spans="40:42" x14ac:dyDescent="0.25">
      <c r="AN278"/>
      <c r="AO278"/>
      <c r="AP278"/>
    </row>
    <row r="279" spans="40:42" x14ac:dyDescent="0.25">
      <c r="AN279"/>
      <c r="AO279"/>
      <c r="AP279"/>
    </row>
    <row r="280" spans="40:42" x14ac:dyDescent="0.25">
      <c r="AN280"/>
      <c r="AO280"/>
      <c r="AP280"/>
    </row>
    <row r="281" spans="40:42" x14ac:dyDescent="0.25">
      <c r="AN281"/>
      <c r="AO281"/>
      <c r="AP281"/>
    </row>
    <row r="282" spans="40:42" x14ac:dyDescent="0.25">
      <c r="AN282"/>
      <c r="AO282"/>
      <c r="AP282"/>
    </row>
    <row r="283" spans="40:42" x14ac:dyDescent="0.25">
      <c r="AN283"/>
      <c r="AO283"/>
      <c r="AP283"/>
    </row>
    <row r="284" spans="40:42" x14ac:dyDescent="0.25">
      <c r="AN284"/>
      <c r="AO284"/>
      <c r="AP284"/>
    </row>
    <row r="285" spans="40:42" x14ac:dyDescent="0.25">
      <c r="AN285"/>
      <c r="AO285"/>
      <c r="AP285"/>
    </row>
    <row r="286" spans="40:42" x14ac:dyDescent="0.25">
      <c r="AN286"/>
      <c r="AO286"/>
      <c r="AP286"/>
    </row>
    <row r="287" spans="40:42" x14ac:dyDescent="0.25">
      <c r="AN287"/>
      <c r="AO287"/>
      <c r="AP287"/>
    </row>
    <row r="288" spans="40:42" x14ac:dyDescent="0.25">
      <c r="AN288"/>
      <c r="AO288"/>
      <c r="AP288"/>
    </row>
    <row r="289" spans="40:42" x14ac:dyDescent="0.25">
      <c r="AN289"/>
      <c r="AO289"/>
      <c r="AP289"/>
    </row>
    <row r="290" spans="40:42" x14ac:dyDescent="0.25">
      <c r="AN290"/>
      <c r="AO290"/>
      <c r="AP290"/>
    </row>
    <row r="291" spans="40:42" x14ac:dyDescent="0.25">
      <c r="AN291"/>
      <c r="AO291"/>
      <c r="AP291"/>
    </row>
    <row r="292" spans="40:42" x14ac:dyDescent="0.25">
      <c r="AN292"/>
      <c r="AO292"/>
      <c r="AP292"/>
    </row>
    <row r="293" spans="40:42" x14ac:dyDescent="0.25">
      <c r="AN293"/>
      <c r="AO293"/>
      <c r="AP293"/>
    </row>
    <row r="294" spans="40:42" x14ac:dyDescent="0.25">
      <c r="AN294"/>
      <c r="AO294"/>
      <c r="AP294"/>
    </row>
    <row r="295" spans="40:42" x14ac:dyDescent="0.25">
      <c r="AN295"/>
      <c r="AO295"/>
      <c r="AP295"/>
    </row>
    <row r="296" spans="40:42" x14ac:dyDescent="0.25">
      <c r="AN296"/>
      <c r="AO296"/>
      <c r="AP296"/>
    </row>
    <row r="297" spans="40:42" x14ac:dyDescent="0.25">
      <c r="AN297"/>
      <c r="AO297"/>
      <c r="AP297"/>
    </row>
    <row r="298" spans="40:42" x14ac:dyDescent="0.25">
      <c r="AN298"/>
      <c r="AO298"/>
      <c r="AP298"/>
    </row>
    <row r="299" spans="40:42" x14ac:dyDescent="0.25">
      <c r="AN299"/>
      <c r="AO299"/>
      <c r="AP299"/>
    </row>
    <row r="300" spans="40:42" x14ac:dyDescent="0.25">
      <c r="AN300"/>
      <c r="AO300"/>
      <c r="AP300"/>
    </row>
    <row r="301" spans="40:42" x14ac:dyDescent="0.25">
      <c r="AN301"/>
      <c r="AO301"/>
      <c r="AP301"/>
    </row>
    <row r="302" spans="40:42" x14ac:dyDescent="0.25">
      <c r="AN302"/>
      <c r="AO302"/>
      <c r="AP302"/>
    </row>
    <row r="303" spans="40:42" x14ac:dyDescent="0.25">
      <c r="AN303"/>
      <c r="AO303"/>
      <c r="AP303"/>
    </row>
    <row r="304" spans="40:42" x14ac:dyDescent="0.25">
      <c r="AN304"/>
      <c r="AO304"/>
      <c r="AP304"/>
    </row>
    <row r="305" spans="34:98" x14ac:dyDescent="0.25">
      <c r="AN305"/>
      <c r="AO305"/>
      <c r="AP305"/>
    </row>
    <row r="306" spans="34:98" x14ac:dyDescent="0.25">
      <c r="AN306"/>
      <c r="AO306"/>
      <c r="AP306"/>
    </row>
    <row r="307" spans="34:98" x14ac:dyDescent="0.25">
      <c r="AN307"/>
      <c r="AO307"/>
      <c r="AP307"/>
    </row>
    <row r="308" spans="34:98" x14ac:dyDescent="0.25">
      <c r="AN308"/>
      <c r="AO308"/>
      <c r="AP308"/>
    </row>
    <row r="309" spans="34:98" x14ac:dyDescent="0.25">
      <c r="AN309"/>
      <c r="AO309"/>
      <c r="AP309"/>
    </row>
    <row r="310" spans="34:98" x14ac:dyDescent="0.25"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  <c r="CQ310" s="37"/>
      <c r="CR310" s="37"/>
      <c r="CS310" s="37"/>
      <c r="CT310" s="37"/>
    </row>
    <row r="311" spans="34:98" x14ac:dyDescent="0.25">
      <c r="AN311"/>
      <c r="AO311"/>
      <c r="AP311"/>
    </row>
    <row r="312" spans="34:98" x14ac:dyDescent="0.25">
      <c r="AN312"/>
      <c r="AO312"/>
      <c r="AP312"/>
    </row>
    <row r="313" spans="34:98" x14ac:dyDescent="0.25">
      <c r="AN313"/>
      <c r="AO313"/>
      <c r="AP313"/>
    </row>
    <row r="314" spans="34:98" x14ac:dyDescent="0.25">
      <c r="AN314"/>
      <c r="AO314"/>
      <c r="AP314"/>
    </row>
    <row r="315" spans="34:98" x14ac:dyDescent="0.25">
      <c r="AN315"/>
      <c r="AO315"/>
      <c r="AP315"/>
    </row>
    <row r="316" spans="34:98" x14ac:dyDescent="0.25">
      <c r="AN316"/>
      <c r="AO316"/>
      <c r="AP316"/>
    </row>
    <row r="317" spans="34:98" x14ac:dyDescent="0.25">
      <c r="AN317"/>
      <c r="AO317"/>
      <c r="AP317"/>
    </row>
    <row r="318" spans="34:98" x14ac:dyDescent="0.25">
      <c r="AN318"/>
      <c r="AO318"/>
      <c r="AP318"/>
    </row>
    <row r="319" spans="34:98" x14ac:dyDescent="0.25">
      <c r="AN319"/>
      <c r="AO319"/>
      <c r="AP319"/>
    </row>
    <row r="320" spans="34:98" x14ac:dyDescent="0.25">
      <c r="AN320"/>
      <c r="AO320"/>
      <c r="AP320"/>
    </row>
    <row r="321" spans="40:42" x14ac:dyDescent="0.25">
      <c r="AN321"/>
      <c r="AO321"/>
      <c r="AP321"/>
    </row>
  </sheetData>
  <sheetProtection selectLockedCells="1"/>
  <mergeCells count="56">
    <mergeCell ref="V68:Y69"/>
    <mergeCell ref="AA68:AB68"/>
    <mergeCell ref="AA69:AB69"/>
    <mergeCell ref="R62:S62"/>
    <mergeCell ref="T62:U62"/>
    <mergeCell ref="V62:W62"/>
    <mergeCell ref="X62:Y62"/>
    <mergeCell ref="R63:U64"/>
    <mergeCell ref="V63:AB67"/>
    <mergeCell ref="R51:AB52"/>
    <mergeCell ref="R54:AB55"/>
    <mergeCell ref="C58:F58"/>
    <mergeCell ref="R61:S61"/>
    <mergeCell ref="T61:U61"/>
    <mergeCell ref="V61:W61"/>
    <mergeCell ref="X61:Y61"/>
    <mergeCell ref="Y31:AA32"/>
    <mergeCell ref="R35:R36"/>
    <mergeCell ref="H37:I37"/>
    <mergeCell ref="C42:C43"/>
    <mergeCell ref="B43:B44"/>
    <mergeCell ref="C45:C46"/>
    <mergeCell ref="E45:F45"/>
    <mergeCell ref="F46:G46"/>
    <mergeCell ref="T24:T25"/>
    <mergeCell ref="H26:H27"/>
    <mergeCell ref="T26:T27"/>
    <mergeCell ref="U26:U27"/>
    <mergeCell ref="B27:B30"/>
    <mergeCell ref="I27:K28"/>
    <mergeCell ref="H28:H29"/>
    <mergeCell ref="F29:G29"/>
    <mergeCell ref="R29:S29"/>
    <mergeCell ref="U18:U20"/>
    <mergeCell ref="B19:B20"/>
    <mergeCell ref="C19:C20"/>
    <mergeCell ref="D19:D21"/>
    <mergeCell ref="T19:T20"/>
    <mergeCell ref="B21:B22"/>
    <mergeCell ref="C21:C22"/>
    <mergeCell ref="T22:T23"/>
    <mergeCell ref="I23:K24"/>
    <mergeCell ref="C24:C26"/>
    <mergeCell ref="K11:M11"/>
    <mergeCell ref="D12:F12"/>
    <mergeCell ref="K13:M13"/>
    <mergeCell ref="C15:C16"/>
    <mergeCell ref="H17:H18"/>
    <mergeCell ref="S18:S21"/>
    <mergeCell ref="W2:AB3"/>
    <mergeCell ref="X4:AB4"/>
    <mergeCell ref="X5:AB5"/>
    <mergeCell ref="H7:J8"/>
    <mergeCell ref="K9:M9"/>
    <mergeCell ref="O9:P9"/>
    <mergeCell ref="R9:S9"/>
  </mergeCells>
  <conditionalFormatting sqref="K3 K5">
    <cfRule type="cellIs" dxfId="1" priority="1" stopIfTrue="1" operator="equal">
      <formula>0</formula>
    </cfRule>
  </conditionalFormatting>
  <conditionalFormatting sqref="R9:S9">
    <cfRule type="expression" dxfId="0" priority="2" stopIfTrue="1">
      <formula>AND(OR($K$9=$AG$102,K9=""))</formula>
    </cfRule>
  </conditionalFormatting>
  <dataValidations count="8">
    <dataValidation type="whole" operator="greaterThanOrEqual" allowBlank="1" showErrorMessage="1" error="Minimum F = 480mm" prompt="Minimum F=480mm" sqref="K7">
      <formula1>480</formula1>
    </dataValidation>
    <dataValidation type="list" allowBlank="1" showInputMessage="1" showErrorMessage="1" sqref="K9">
      <formula1>$AG$102:$AG$104</formula1>
    </dataValidation>
    <dataValidation type="list" allowBlank="1" showInputMessage="1" showErrorMessage="1" sqref="E5">
      <formula1>$AD$3:$AD$11</formula1>
    </dataValidation>
    <dataValidation type="list" allowBlank="1" showInputMessage="1" showErrorMessage="1" sqref="R9:S9">
      <formula1>$AG$107:$AG$108</formula1>
    </dataValidation>
    <dataValidation type="list" allowBlank="1" showInputMessage="1" showErrorMessage="1" sqref="K11">
      <formula1>AG116:AG117</formula1>
    </dataValidation>
    <dataValidation type="list" allowBlank="1" showInputMessage="1" showErrorMessage="1" sqref="K13">
      <formula1>AG122:AG123</formula1>
    </dataValidation>
    <dataValidation type="custom" allowBlank="1" showInputMessage="1" showErrorMessage="1" error="W max 8000 mm" sqref="K3">
      <formula1>IF(OR(K3&gt;8000,K3/1000*K5/1000&gt;40),FALSE,TRUE)</formula1>
    </dataValidation>
    <dataValidation type="custom" allowBlank="1" showInputMessage="1" showErrorMessage="1" error="H max 6500 mm_x000a__x000a__x000a_W x H max 40 m2" sqref="K5">
      <formula1>IF(OR(K5&gt;6500,K3/1000*K5/1000&gt;40),FALSE,TRUE)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48" orientation="landscape" r:id="rId1"/>
  <colBreaks count="1" manualBreakCount="1">
    <brk id="29" max="6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49"/>
  <sheetViews>
    <sheetView showGridLines="0" workbookViewId="0">
      <selection activeCell="E48" sqref="E48:G49"/>
    </sheetView>
  </sheetViews>
  <sheetFormatPr defaultRowHeight="15" x14ac:dyDescent="0.25"/>
  <cols>
    <col min="9" max="10" width="9.140625" customWidth="1"/>
  </cols>
  <sheetData>
    <row r="1" spans="1:9" x14ac:dyDescent="0.25">
      <c r="A1" s="208"/>
      <c r="B1" s="209"/>
      <c r="C1" s="209"/>
      <c r="D1" s="209"/>
      <c r="E1" s="209"/>
      <c r="F1" s="209"/>
      <c r="G1" s="209"/>
      <c r="H1" s="209"/>
      <c r="I1" s="210"/>
    </row>
    <row r="2" spans="1:9" x14ac:dyDescent="0.25">
      <c r="A2" s="211"/>
      <c r="B2" s="98"/>
      <c r="C2" s="98"/>
      <c r="D2" s="98"/>
      <c r="E2" s="98"/>
      <c r="F2" s="98"/>
      <c r="G2" s="98"/>
      <c r="H2" s="98"/>
      <c r="I2" s="212"/>
    </row>
    <row r="3" spans="1:9" x14ac:dyDescent="0.25">
      <c r="A3" s="211"/>
      <c r="B3" s="98"/>
      <c r="C3" s="103"/>
      <c r="D3" s="98"/>
      <c r="E3" s="98"/>
      <c r="F3" s="98"/>
      <c r="G3" s="98"/>
      <c r="H3" s="98"/>
      <c r="I3" s="212"/>
    </row>
    <row r="4" spans="1:9" x14ac:dyDescent="0.25">
      <c r="A4" s="211"/>
      <c r="B4" s="49">
        <f>general!$C$15</f>
        <v>120</v>
      </c>
      <c r="C4" s="98"/>
      <c r="D4" s="98"/>
      <c r="E4" s="98"/>
      <c r="F4" s="98"/>
      <c r="G4" s="98"/>
      <c r="H4" s="98"/>
      <c r="I4" s="212"/>
    </row>
    <row r="5" spans="1:9" x14ac:dyDescent="0.25">
      <c r="A5" s="211"/>
      <c r="B5" s="98"/>
      <c r="C5" s="98"/>
      <c r="D5" s="98"/>
      <c r="E5" s="98"/>
      <c r="F5" s="98"/>
      <c r="G5" s="98"/>
      <c r="H5" s="98"/>
      <c r="I5" s="212"/>
    </row>
    <row r="6" spans="1:9" x14ac:dyDescent="0.25">
      <c r="A6" s="109" t="str">
        <f>general!P64</f>
        <v/>
      </c>
      <c r="B6" s="98"/>
      <c r="C6" s="98"/>
      <c r="D6" s="98"/>
      <c r="E6" s="98"/>
      <c r="F6" s="98"/>
      <c r="G6" s="98"/>
      <c r="H6" s="98"/>
      <c r="I6" s="212"/>
    </row>
    <row r="7" spans="1:9" x14ac:dyDescent="0.25">
      <c r="A7" s="109"/>
      <c r="B7" s="98"/>
      <c r="C7" s="98"/>
      <c r="D7" s="98"/>
      <c r="E7" s="98"/>
      <c r="F7" s="98"/>
      <c r="G7" s="98"/>
      <c r="H7" s="98"/>
      <c r="I7" s="212"/>
    </row>
    <row r="8" spans="1:9" x14ac:dyDescent="0.25">
      <c r="A8" s="109"/>
      <c r="B8" s="98"/>
      <c r="C8" s="98"/>
      <c r="D8" s="98"/>
      <c r="E8" s="98"/>
      <c r="F8" s="98"/>
      <c r="G8" s="98"/>
      <c r="H8" s="98"/>
      <c r="I8" s="212"/>
    </row>
    <row r="9" spans="1:9" x14ac:dyDescent="0.25">
      <c r="A9" s="109"/>
      <c r="B9" s="98"/>
      <c r="C9" s="98"/>
      <c r="D9" s="98"/>
      <c r="E9" s="98"/>
      <c r="F9" s="98"/>
      <c r="G9" s="98"/>
      <c r="H9" s="98"/>
      <c r="I9" s="212"/>
    </row>
    <row r="10" spans="1:9" x14ac:dyDescent="0.25">
      <c r="A10" s="211"/>
      <c r="B10" s="98"/>
      <c r="C10" s="98"/>
      <c r="D10" s="98"/>
      <c r="E10" s="98"/>
      <c r="F10" s="98"/>
      <c r="G10" s="98"/>
      <c r="H10" s="98"/>
      <c r="I10" s="212"/>
    </row>
    <row r="11" spans="1:9" x14ac:dyDescent="0.25">
      <c r="A11" s="211"/>
      <c r="B11" s="98"/>
      <c r="C11" s="98"/>
      <c r="D11" s="98"/>
      <c r="E11" s="98"/>
      <c r="F11" s="98"/>
      <c r="G11" s="98"/>
      <c r="H11" s="98"/>
      <c r="I11" s="212"/>
    </row>
    <row r="12" spans="1:9" x14ac:dyDescent="0.25">
      <c r="A12" s="211"/>
      <c r="B12" s="98"/>
      <c r="C12" s="98"/>
      <c r="D12" s="98"/>
      <c r="E12" s="98"/>
      <c r="F12" s="98"/>
      <c r="G12" s="98"/>
      <c r="H12" s="98"/>
      <c r="I12" s="212"/>
    </row>
    <row r="13" spans="1:9" x14ac:dyDescent="0.25">
      <c r="A13" s="211"/>
      <c r="B13" s="98"/>
      <c r="C13" s="98"/>
      <c r="D13" s="98"/>
      <c r="E13" s="98"/>
      <c r="F13" s="98"/>
      <c r="G13" s="98"/>
      <c r="H13" s="98"/>
      <c r="I13" s="212"/>
    </row>
    <row r="14" spans="1:9" x14ac:dyDescent="0.25">
      <c r="A14" s="211"/>
      <c r="B14" s="98"/>
      <c r="C14" s="98"/>
      <c r="D14" s="98"/>
      <c r="E14" s="98"/>
      <c r="F14" s="98"/>
      <c r="G14" s="98"/>
      <c r="H14" s="98"/>
      <c r="I14" s="212"/>
    </row>
    <row r="15" spans="1:9" x14ac:dyDescent="0.25">
      <c r="A15" s="213" t="str">
        <f>general!B27</f>
        <v>H=</v>
      </c>
      <c r="B15" s="98"/>
      <c r="C15" s="98"/>
      <c r="D15" s="98"/>
      <c r="E15" s="98"/>
      <c r="F15" s="98"/>
      <c r="G15" s="98"/>
      <c r="H15" s="98"/>
      <c r="I15" s="212"/>
    </row>
    <row r="16" spans="1:9" x14ac:dyDescent="0.25">
      <c r="A16" s="213"/>
      <c r="B16" s="98"/>
      <c r="C16" s="98"/>
      <c r="D16" s="98"/>
      <c r="E16" s="98"/>
      <c r="F16" s="98"/>
      <c r="G16" s="98"/>
      <c r="H16" s="98"/>
      <c r="I16" s="212"/>
    </row>
    <row r="17" spans="1:9" x14ac:dyDescent="0.25">
      <c r="A17" s="213"/>
      <c r="B17" s="98"/>
      <c r="C17" s="98"/>
      <c r="D17" s="98"/>
      <c r="E17" s="98"/>
      <c r="F17" s="98"/>
      <c r="G17" s="98"/>
      <c r="H17" s="98"/>
      <c r="I17" s="212"/>
    </row>
    <row r="18" spans="1:9" x14ac:dyDescent="0.25">
      <c r="A18" s="213"/>
      <c r="B18" s="98"/>
      <c r="C18" s="98"/>
      <c r="D18" s="98"/>
      <c r="E18" s="98"/>
      <c r="F18" s="98"/>
      <c r="G18" s="98"/>
      <c r="H18" s="98"/>
      <c r="I18" s="212"/>
    </row>
    <row r="19" spans="1:9" x14ac:dyDescent="0.25">
      <c r="A19" s="211"/>
      <c r="B19" s="98"/>
      <c r="C19" s="98"/>
      <c r="D19" s="98"/>
      <c r="E19" s="98"/>
      <c r="F19" s="98"/>
      <c r="G19" s="98"/>
      <c r="H19" s="98"/>
      <c r="I19" s="212"/>
    </row>
    <row r="20" spans="1:9" x14ac:dyDescent="0.25">
      <c r="A20" s="211"/>
      <c r="B20" s="98"/>
      <c r="C20" s="98"/>
      <c r="D20" s="98"/>
      <c r="E20" s="98"/>
      <c r="F20" s="98"/>
      <c r="G20" s="98"/>
      <c r="H20" s="98"/>
      <c r="I20" s="212"/>
    </row>
    <row r="21" spans="1:9" x14ac:dyDescent="0.25">
      <c r="A21" s="211"/>
      <c r="B21" s="98"/>
      <c r="C21" s="98"/>
      <c r="D21" s="98"/>
      <c r="E21" s="98"/>
      <c r="F21" s="98"/>
      <c r="G21" s="98"/>
      <c r="H21" s="98"/>
      <c r="I21" s="212"/>
    </row>
    <row r="22" spans="1:9" x14ac:dyDescent="0.25">
      <c r="A22" s="211"/>
      <c r="B22" s="98"/>
      <c r="C22" s="98"/>
      <c r="D22" s="98"/>
      <c r="E22" s="98"/>
      <c r="F22" s="98"/>
      <c r="G22" s="98"/>
      <c r="H22" s="98"/>
      <c r="I22" s="212"/>
    </row>
    <row r="23" spans="1:9" x14ac:dyDescent="0.25">
      <c r="A23" s="211"/>
      <c r="B23" s="98"/>
      <c r="C23" s="98"/>
      <c r="D23" s="98"/>
      <c r="E23" s="98"/>
      <c r="F23" s="98"/>
      <c r="G23" s="98"/>
      <c r="H23" s="98"/>
      <c r="I23" s="212"/>
    </row>
    <row r="24" spans="1:9" x14ac:dyDescent="0.25">
      <c r="A24" s="211"/>
      <c r="B24" s="98"/>
      <c r="C24" s="98"/>
      <c r="D24" s="98"/>
      <c r="E24" s="98"/>
      <c r="F24" s="98"/>
      <c r="G24" s="98"/>
      <c r="H24" s="98"/>
      <c r="I24" s="212"/>
    </row>
    <row r="25" spans="1:9" x14ac:dyDescent="0.25">
      <c r="A25" s="211"/>
      <c r="B25" s="98"/>
      <c r="C25" s="98"/>
      <c r="D25" s="98"/>
      <c r="E25" s="98"/>
      <c r="F25" s="98"/>
      <c r="G25" s="98"/>
      <c r="H25" s="98"/>
      <c r="I25" s="212"/>
    </row>
    <row r="26" spans="1:9" x14ac:dyDescent="0.25">
      <c r="A26" s="211"/>
      <c r="B26" s="98"/>
      <c r="C26" s="98"/>
      <c r="D26" s="98"/>
      <c r="E26" s="98"/>
      <c r="F26" s="98"/>
      <c r="G26" s="98"/>
      <c r="H26" s="98"/>
      <c r="I26" s="212"/>
    </row>
    <row r="27" spans="1:9" x14ac:dyDescent="0.25">
      <c r="A27" s="211"/>
      <c r="B27" s="98"/>
      <c r="C27" s="98"/>
      <c r="D27" s="103">
        <f>general!$C$35</f>
        <v>100</v>
      </c>
      <c r="E27" s="98"/>
      <c r="F27" s="98"/>
      <c r="G27" s="103">
        <f>general!$G$35</f>
        <v>100</v>
      </c>
      <c r="H27" s="98"/>
      <c r="I27" s="212"/>
    </row>
    <row r="28" spans="1:9" x14ac:dyDescent="0.25">
      <c r="A28" s="211"/>
      <c r="B28" s="98"/>
      <c r="C28" s="98"/>
      <c r="D28" s="98"/>
      <c r="E28" s="98"/>
      <c r="F28" s="103"/>
      <c r="G28" s="98"/>
      <c r="H28" s="98"/>
      <c r="I28" s="212"/>
    </row>
    <row r="29" spans="1:9" x14ac:dyDescent="0.25">
      <c r="A29" s="211"/>
      <c r="B29" s="98"/>
      <c r="C29" s="98"/>
      <c r="D29" s="98"/>
      <c r="E29" s="98"/>
      <c r="F29" s="103">
        <f>general!$E$37</f>
        <v>0</v>
      </c>
      <c r="G29" s="98"/>
      <c r="H29" s="98"/>
      <c r="I29" s="212"/>
    </row>
    <row r="30" spans="1:9" x14ac:dyDescent="0.25">
      <c r="A30" s="211"/>
      <c r="B30" s="98"/>
      <c r="C30" s="98"/>
      <c r="D30" s="98"/>
      <c r="E30" s="98"/>
      <c r="F30" s="98"/>
      <c r="G30" s="98"/>
      <c r="H30" s="98"/>
      <c r="I30" s="212"/>
    </row>
    <row r="31" spans="1:9" x14ac:dyDescent="0.25">
      <c r="A31" s="211"/>
      <c r="B31" s="98"/>
      <c r="C31" s="98"/>
      <c r="D31" s="98"/>
      <c r="E31" s="98"/>
      <c r="F31" s="98"/>
      <c r="G31" s="98"/>
      <c r="H31" s="98"/>
      <c r="I31" s="212"/>
    </row>
    <row r="32" spans="1:9" x14ac:dyDescent="0.25">
      <c r="A32" s="211"/>
      <c r="B32" s="98"/>
      <c r="C32" s="98"/>
      <c r="D32" s="98"/>
      <c r="E32" s="98"/>
      <c r="F32" s="98"/>
      <c r="G32" s="98"/>
      <c r="H32" s="98"/>
      <c r="I32" s="212"/>
    </row>
    <row r="33" spans="1:9" x14ac:dyDescent="0.25">
      <c r="A33" s="211"/>
      <c r="B33" s="98"/>
      <c r="C33" s="98"/>
      <c r="D33" s="98"/>
      <c r="E33" s="98"/>
      <c r="F33" s="98"/>
      <c r="G33" s="98"/>
      <c r="H33" s="98"/>
      <c r="I33" s="212"/>
    </row>
    <row r="34" spans="1:9" x14ac:dyDescent="0.25">
      <c r="A34" s="107"/>
      <c r="B34" s="7"/>
      <c r="C34" s="7"/>
      <c r="D34" s="7"/>
      <c r="E34" s="7"/>
      <c r="F34" s="7"/>
      <c r="G34" s="7"/>
      <c r="H34" s="7"/>
      <c r="I34" s="6"/>
    </row>
    <row r="35" spans="1:9" x14ac:dyDescent="0.25">
      <c r="A35" s="107"/>
      <c r="B35" s="7"/>
      <c r="C35" s="7"/>
      <c r="D35" s="7"/>
      <c r="E35" s="7"/>
      <c r="F35" s="7"/>
      <c r="G35" s="7"/>
      <c r="H35" s="7"/>
      <c r="I35" s="6"/>
    </row>
    <row r="36" spans="1:9" x14ac:dyDescent="0.25">
      <c r="A36" s="107"/>
      <c r="B36" s="7"/>
      <c r="C36" s="7"/>
      <c r="D36" s="7"/>
      <c r="E36" s="7"/>
      <c r="F36" s="7"/>
      <c r="G36" s="7"/>
      <c r="H36" s="7"/>
      <c r="I36" s="6"/>
    </row>
    <row r="37" spans="1:9" x14ac:dyDescent="0.25">
      <c r="A37" s="107"/>
      <c r="B37" s="7"/>
      <c r="C37" s="7"/>
      <c r="D37" s="7"/>
      <c r="E37" s="7"/>
      <c r="F37" s="7"/>
      <c r="G37" s="7"/>
      <c r="H37" s="7"/>
      <c r="I37" s="6"/>
    </row>
    <row r="38" spans="1:9" x14ac:dyDescent="0.25">
      <c r="A38" s="107"/>
      <c r="B38" s="7"/>
      <c r="C38" s="7"/>
      <c r="D38" s="7"/>
      <c r="E38" s="7"/>
      <c r="F38" s="7"/>
      <c r="G38" s="7"/>
      <c r="H38" s="7"/>
      <c r="I38" s="6"/>
    </row>
    <row r="39" spans="1:9" ht="15.75" thickBot="1" x14ac:dyDescent="0.3">
      <c r="A39" s="107"/>
      <c r="B39" s="7"/>
      <c r="C39" s="7"/>
      <c r="D39" s="7"/>
      <c r="E39" s="7"/>
      <c r="F39" s="7"/>
      <c r="G39" s="7"/>
      <c r="H39" s="7"/>
      <c r="I39" s="6"/>
    </row>
    <row r="40" spans="1:9" x14ac:dyDescent="0.25">
      <c r="A40" s="107"/>
      <c r="B40" s="7"/>
      <c r="C40" s="193" t="str">
        <f>general!AG125</f>
        <v>RÁM - VEDENÍ PRO VYSOKÝ PŘEKLAD (HL)</v>
      </c>
      <c r="D40" s="194"/>
      <c r="E40" s="194"/>
      <c r="F40" s="194"/>
      <c r="G40" s="194"/>
      <c r="H40" s="194"/>
      <c r="I40" s="195"/>
    </row>
    <row r="41" spans="1:9" ht="15.75" thickBot="1" x14ac:dyDescent="0.3">
      <c r="A41" s="107"/>
      <c r="B41" s="7"/>
      <c r="C41" s="200"/>
      <c r="D41" s="201"/>
      <c r="E41" s="201"/>
      <c r="F41" s="201"/>
      <c r="G41" s="201"/>
      <c r="H41" s="201"/>
      <c r="I41" s="202"/>
    </row>
    <row r="42" spans="1:9" ht="15.75" thickBot="1" x14ac:dyDescent="0.3">
      <c r="A42" s="107"/>
      <c r="B42" s="7"/>
      <c r="C42" s="214" t="str">
        <f>general!$AG$106</f>
        <v>Umístění motoru</v>
      </c>
      <c r="D42" s="215"/>
      <c r="E42" s="193" t="str">
        <f>general!$AG$108</f>
        <v>Na pravé straně</v>
      </c>
      <c r="F42" s="194"/>
      <c r="G42" s="195"/>
      <c r="H42" s="216"/>
      <c r="I42" s="216"/>
    </row>
    <row r="43" spans="1:9" ht="15.75" thickBot="1" x14ac:dyDescent="0.3">
      <c r="A43" s="107"/>
      <c r="B43" s="7"/>
      <c r="C43" s="217"/>
      <c r="D43" s="218"/>
      <c r="E43" s="200"/>
      <c r="F43" s="201"/>
      <c r="G43" s="202"/>
      <c r="H43" s="216"/>
      <c r="I43" s="216"/>
    </row>
    <row r="44" spans="1:9" ht="15.75" thickBot="1" x14ac:dyDescent="0.3">
      <c r="A44" s="107"/>
      <c r="B44" s="7"/>
      <c r="C44" s="214" t="str">
        <f>general!$R$61</f>
        <v>Sestavil:</v>
      </c>
      <c r="D44" s="215"/>
      <c r="E44" s="219"/>
      <c r="F44" s="219"/>
      <c r="G44" s="219"/>
      <c r="H44" s="216"/>
      <c r="I44" s="216"/>
    </row>
    <row r="45" spans="1:9" ht="15.75" thickBot="1" x14ac:dyDescent="0.3">
      <c r="A45" s="107"/>
      <c r="B45" s="7"/>
      <c r="C45" s="217"/>
      <c r="D45" s="218"/>
      <c r="E45" s="219"/>
      <c r="F45" s="219"/>
      <c r="G45" s="219"/>
      <c r="H45" s="216"/>
      <c r="I45" s="216"/>
    </row>
    <row r="46" spans="1:9" ht="15.75" thickBot="1" x14ac:dyDescent="0.3">
      <c r="A46" s="107"/>
      <c r="B46" s="7"/>
      <c r="C46" s="214" t="str">
        <f>general!$T$61</f>
        <v>Upravil:</v>
      </c>
      <c r="D46" s="215"/>
      <c r="E46" s="219"/>
      <c r="F46" s="219"/>
      <c r="G46" s="219"/>
      <c r="H46" s="216"/>
      <c r="I46" s="216"/>
    </row>
    <row r="47" spans="1:9" ht="15.75" thickBot="1" x14ac:dyDescent="0.3">
      <c r="A47" s="107"/>
      <c r="B47" s="7"/>
      <c r="C47" s="217"/>
      <c r="D47" s="218"/>
      <c r="E47" s="219"/>
      <c r="F47" s="219"/>
      <c r="G47" s="219"/>
      <c r="H47" s="216"/>
      <c r="I47" s="216"/>
    </row>
    <row r="48" spans="1:9" ht="15.75" thickBot="1" x14ac:dyDescent="0.3">
      <c r="A48" s="107"/>
      <c r="B48" s="7"/>
      <c r="C48" s="214" t="str">
        <f>general!$Z$61</f>
        <v>Datum:</v>
      </c>
      <c r="D48" s="215"/>
      <c r="E48" s="220"/>
      <c r="F48" s="220"/>
      <c r="G48" s="220"/>
      <c r="H48" s="216"/>
      <c r="I48" s="216"/>
    </row>
    <row r="49" spans="1:9" ht="15.75" thickBot="1" x14ac:dyDescent="0.3">
      <c r="A49" s="199"/>
      <c r="B49" s="1"/>
      <c r="C49" s="217"/>
      <c r="D49" s="218"/>
      <c r="E49" s="220"/>
      <c r="F49" s="220"/>
      <c r="G49" s="220"/>
      <c r="H49" s="216"/>
      <c r="I49" s="216"/>
    </row>
  </sheetData>
  <sheetProtection password="996F" sheet="1" objects="1" selectLockedCells="1"/>
  <mergeCells count="12">
    <mergeCell ref="C48:D49"/>
    <mergeCell ref="E48:G49"/>
    <mergeCell ref="A6:A9"/>
    <mergeCell ref="A15:A18"/>
    <mergeCell ref="C40:I41"/>
    <mergeCell ref="C42:D43"/>
    <mergeCell ref="E42:G43"/>
    <mergeCell ref="H42:I49"/>
    <mergeCell ref="C44:D45"/>
    <mergeCell ref="E44:G45"/>
    <mergeCell ref="C46:D47"/>
    <mergeCell ref="E46:G4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I49"/>
  <sheetViews>
    <sheetView showGridLines="0" topLeftCell="A19" workbookViewId="0">
      <selection activeCell="E46" sqref="E46:G49"/>
    </sheetView>
  </sheetViews>
  <sheetFormatPr defaultRowHeight="15" x14ac:dyDescent="0.25"/>
  <sheetData>
    <row r="1" spans="1:9" x14ac:dyDescent="0.25">
      <c r="A1" s="208"/>
      <c r="B1" s="209"/>
      <c r="C1" s="209"/>
      <c r="D1" s="209"/>
      <c r="E1" s="209"/>
      <c r="F1" s="209"/>
      <c r="G1" s="209"/>
      <c r="H1" s="209"/>
      <c r="I1" s="210"/>
    </row>
    <row r="2" spans="1:9" x14ac:dyDescent="0.25">
      <c r="A2" s="211"/>
      <c r="B2" s="98"/>
      <c r="C2" s="98"/>
      <c r="D2" s="98"/>
      <c r="E2" s="98"/>
      <c r="F2" s="98"/>
      <c r="G2" s="98"/>
      <c r="H2" s="98"/>
      <c r="I2" s="212"/>
    </row>
    <row r="3" spans="1:9" x14ac:dyDescent="0.25">
      <c r="A3" s="211"/>
      <c r="B3" s="98"/>
      <c r="C3" s="98"/>
      <c r="D3" s="98"/>
      <c r="E3" s="98"/>
      <c r="F3" s="98"/>
      <c r="G3" s="98"/>
      <c r="H3" s="99"/>
      <c r="I3" s="212"/>
    </row>
    <row r="4" spans="1:9" x14ac:dyDescent="0.25">
      <c r="A4" s="211"/>
      <c r="B4" s="98"/>
      <c r="C4" s="98"/>
      <c r="D4" s="98"/>
      <c r="E4" s="98"/>
      <c r="F4" s="98"/>
      <c r="G4" s="98"/>
      <c r="H4" s="49">
        <f>general!$C$15</f>
        <v>120</v>
      </c>
      <c r="I4" s="212"/>
    </row>
    <row r="5" spans="1:9" x14ac:dyDescent="0.25">
      <c r="A5" s="211"/>
      <c r="B5" s="98"/>
      <c r="C5" s="98"/>
      <c r="D5" s="98"/>
      <c r="E5" s="98"/>
      <c r="F5" s="98"/>
      <c r="G5" s="98"/>
      <c r="H5" s="98"/>
      <c r="I5" s="212"/>
    </row>
    <row r="6" spans="1:9" x14ac:dyDescent="0.25">
      <c r="A6" s="109"/>
      <c r="B6" s="98"/>
      <c r="C6" s="98"/>
      <c r="D6" s="98"/>
      <c r="E6" s="98"/>
      <c r="F6" s="98"/>
      <c r="G6" s="98"/>
      <c r="H6" s="98"/>
      <c r="I6" s="221" t="str">
        <f>general!P64</f>
        <v/>
      </c>
    </row>
    <row r="7" spans="1:9" x14ac:dyDescent="0.25">
      <c r="A7" s="109"/>
      <c r="B7" s="98"/>
      <c r="C7" s="98"/>
      <c r="D7" s="98"/>
      <c r="E7" s="98"/>
      <c r="F7" s="98"/>
      <c r="G7" s="98"/>
      <c r="H7" s="98"/>
      <c r="I7" s="221"/>
    </row>
    <row r="8" spans="1:9" x14ac:dyDescent="0.25">
      <c r="A8" s="109"/>
      <c r="B8" s="98"/>
      <c r="C8" s="98"/>
      <c r="D8" s="98"/>
      <c r="E8" s="98"/>
      <c r="F8" s="98"/>
      <c r="G8" s="98"/>
      <c r="H8" s="98"/>
      <c r="I8" s="221"/>
    </row>
    <row r="9" spans="1:9" x14ac:dyDescent="0.25">
      <c r="A9" s="109"/>
      <c r="B9" s="98"/>
      <c r="C9" s="98"/>
      <c r="D9" s="98"/>
      <c r="E9" s="98"/>
      <c r="F9" s="98"/>
      <c r="G9" s="98"/>
      <c r="H9" s="98"/>
      <c r="I9" s="221"/>
    </row>
    <row r="10" spans="1:9" x14ac:dyDescent="0.25">
      <c r="A10" s="211"/>
      <c r="B10" s="98"/>
      <c r="C10" s="98"/>
      <c r="D10" s="98"/>
      <c r="E10" s="98"/>
      <c r="F10" s="98"/>
      <c r="G10" s="98"/>
      <c r="H10" s="98"/>
      <c r="I10" s="212"/>
    </row>
    <row r="11" spans="1:9" x14ac:dyDescent="0.25">
      <c r="A11" s="211"/>
      <c r="B11" s="98"/>
      <c r="C11" s="98"/>
      <c r="D11" s="98"/>
      <c r="E11" s="98"/>
      <c r="F11" s="98"/>
      <c r="G11" s="98"/>
      <c r="H11" s="98"/>
      <c r="I11" s="212"/>
    </row>
    <row r="12" spans="1:9" x14ac:dyDescent="0.25">
      <c r="A12" s="211"/>
      <c r="B12" s="98"/>
      <c r="C12" s="98"/>
      <c r="D12" s="98"/>
      <c r="E12" s="98"/>
      <c r="F12" s="98"/>
      <c r="G12" s="98"/>
      <c r="H12" s="98"/>
      <c r="I12" s="212"/>
    </row>
    <row r="13" spans="1:9" x14ac:dyDescent="0.25">
      <c r="A13" s="211"/>
      <c r="B13" s="98"/>
      <c r="C13" s="98"/>
      <c r="D13" s="98"/>
      <c r="E13" s="98"/>
      <c r="F13" s="98"/>
      <c r="G13" s="98"/>
      <c r="H13" s="98"/>
      <c r="I13" s="212"/>
    </row>
    <row r="14" spans="1:9" x14ac:dyDescent="0.25">
      <c r="A14" s="211"/>
      <c r="B14" s="98"/>
      <c r="C14" s="98"/>
      <c r="D14" s="98"/>
      <c r="E14" s="98"/>
      <c r="F14" s="98"/>
      <c r="G14" s="98"/>
      <c r="H14" s="98"/>
      <c r="I14" s="212"/>
    </row>
    <row r="15" spans="1:9" x14ac:dyDescent="0.25">
      <c r="A15" s="213"/>
      <c r="B15" s="98"/>
      <c r="C15" s="98"/>
      <c r="D15" s="98"/>
      <c r="E15" s="98"/>
      <c r="F15" s="98"/>
      <c r="G15" s="98"/>
      <c r="H15" s="98"/>
      <c r="I15" s="221" t="str">
        <f>general!$B$27</f>
        <v>H=</v>
      </c>
    </row>
    <row r="16" spans="1:9" x14ac:dyDescent="0.25">
      <c r="A16" s="213"/>
      <c r="B16" s="98"/>
      <c r="C16" s="98"/>
      <c r="D16" s="98"/>
      <c r="E16" s="98"/>
      <c r="F16" s="98"/>
      <c r="G16" s="98"/>
      <c r="H16" s="98"/>
      <c r="I16" s="221"/>
    </row>
    <row r="17" spans="1:9" x14ac:dyDescent="0.25">
      <c r="A17" s="213"/>
      <c r="B17" s="98"/>
      <c r="C17" s="98"/>
      <c r="D17" s="98"/>
      <c r="E17" s="98"/>
      <c r="F17" s="98"/>
      <c r="G17" s="98"/>
      <c r="H17" s="98"/>
      <c r="I17" s="221"/>
    </row>
    <row r="18" spans="1:9" x14ac:dyDescent="0.25">
      <c r="A18" s="213"/>
      <c r="B18" s="98"/>
      <c r="C18" s="98"/>
      <c r="D18" s="98"/>
      <c r="E18" s="98"/>
      <c r="F18" s="98"/>
      <c r="G18" s="98"/>
      <c r="H18" s="98"/>
      <c r="I18" s="221"/>
    </row>
    <row r="19" spans="1:9" x14ac:dyDescent="0.25">
      <c r="A19" s="211"/>
      <c r="B19" s="98"/>
      <c r="C19" s="98"/>
      <c r="D19" s="98"/>
      <c r="E19" s="98"/>
      <c r="F19" s="98"/>
      <c r="G19" s="98"/>
      <c r="H19" s="98"/>
      <c r="I19" s="212"/>
    </row>
    <row r="20" spans="1:9" x14ac:dyDescent="0.25">
      <c r="A20" s="211"/>
      <c r="B20" s="98"/>
      <c r="C20" s="98"/>
      <c r="D20" s="98"/>
      <c r="E20" s="98"/>
      <c r="F20" s="98"/>
      <c r="G20" s="98"/>
      <c r="H20" s="98"/>
      <c r="I20" s="212"/>
    </row>
    <row r="21" spans="1:9" x14ac:dyDescent="0.25">
      <c r="A21" s="211"/>
      <c r="B21" s="98"/>
      <c r="C21" s="98"/>
      <c r="D21" s="98"/>
      <c r="E21" s="98"/>
      <c r="F21" s="98"/>
      <c r="G21" s="98"/>
      <c r="H21" s="98"/>
      <c r="I21" s="212"/>
    </row>
    <row r="22" spans="1:9" x14ac:dyDescent="0.25">
      <c r="A22" s="211"/>
      <c r="B22" s="98"/>
      <c r="C22" s="98"/>
      <c r="D22" s="98"/>
      <c r="E22" s="98"/>
      <c r="F22" s="98"/>
      <c r="G22" s="98"/>
      <c r="H22" s="98"/>
      <c r="I22" s="212"/>
    </row>
    <row r="23" spans="1:9" x14ac:dyDescent="0.25">
      <c r="A23" s="211"/>
      <c r="B23" s="98"/>
      <c r="C23" s="98"/>
      <c r="D23" s="98"/>
      <c r="E23" s="98"/>
      <c r="F23" s="98"/>
      <c r="G23" s="98"/>
      <c r="H23" s="98"/>
      <c r="I23" s="212"/>
    </row>
    <row r="24" spans="1:9" x14ac:dyDescent="0.25">
      <c r="A24" s="211"/>
      <c r="B24" s="98"/>
      <c r="C24" s="98"/>
      <c r="D24" s="98"/>
      <c r="E24" s="98"/>
      <c r="F24" s="98"/>
      <c r="G24" s="98"/>
      <c r="H24" s="98"/>
      <c r="I24" s="212"/>
    </row>
    <row r="25" spans="1:9" x14ac:dyDescent="0.25">
      <c r="A25" s="211"/>
      <c r="B25" s="98"/>
      <c r="C25" s="98"/>
      <c r="D25" s="98"/>
      <c r="E25" s="98"/>
      <c r="F25" s="98"/>
      <c r="G25" s="98"/>
      <c r="H25" s="98"/>
      <c r="I25" s="212"/>
    </row>
    <row r="26" spans="1:9" x14ac:dyDescent="0.25">
      <c r="A26" s="211"/>
      <c r="B26" s="98"/>
      <c r="C26" s="98"/>
      <c r="D26" s="98"/>
      <c r="E26" s="98"/>
      <c r="F26" s="98"/>
      <c r="G26" s="98"/>
      <c r="H26" s="98"/>
      <c r="I26" s="212"/>
    </row>
    <row r="27" spans="1:9" x14ac:dyDescent="0.25">
      <c r="A27" s="211"/>
      <c r="B27" s="98"/>
      <c r="C27" s="98"/>
      <c r="D27" s="103">
        <f>general!$G$35</f>
        <v>100</v>
      </c>
      <c r="E27" s="98"/>
      <c r="F27" s="98"/>
      <c r="G27" s="103">
        <f>general!$G$35</f>
        <v>100</v>
      </c>
      <c r="H27" s="98"/>
      <c r="I27" s="212"/>
    </row>
    <row r="28" spans="1:9" x14ac:dyDescent="0.25">
      <c r="A28" s="211"/>
      <c r="B28" s="98"/>
      <c r="C28" s="98"/>
      <c r="D28" s="98"/>
      <c r="E28" s="103"/>
      <c r="F28" s="103"/>
      <c r="G28" s="98"/>
      <c r="H28" s="98"/>
      <c r="I28" s="212"/>
    </row>
    <row r="29" spans="1:9" x14ac:dyDescent="0.25">
      <c r="A29" s="211"/>
      <c r="B29" s="98"/>
      <c r="C29" s="98"/>
      <c r="D29" s="98"/>
      <c r="E29" s="49">
        <f>general!$E$37</f>
        <v>0</v>
      </c>
      <c r="F29" s="98"/>
      <c r="G29" s="98"/>
      <c r="H29" s="98"/>
      <c r="I29" s="212"/>
    </row>
    <row r="30" spans="1:9" x14ac:dyDescent="0.25">
      <c r="A30" s="211"/>
      <c r="B30" s="98"/>
      <c r="C30" s="98"/>
      <c r="D30" s="98"/>
      <c r="E30" s="98"/>
      <c r="F30" s="98"/>
      <c r="G30" s="98"/>
      <c r="H30" s="98"/>
      <c r="I30" s="212"/>
    </row>
    <row r="31" spans="1:9" x14ac:dyDescent="0.25">
      <c r="A31" s="211"/>
      <c r="B31" s="98"/>
      <c r="C31" s="98"/>
      <c r="D31" s="98"/>
      <c r="E31" s="98"/>
      <c r="F31" s="98"/>
      <c r="G31" s="98"/>
      <c r="H31" s="98"/>
      <c r="I31" s="212"/>
    </row>
    <row r="32" spans="1:9" x14ac:dyDescent="0.25">
      <c r="A32" s="211"/>
      <c r="B32" s="98"/>
      <c r="C32" s="98"/>
      <c r="D32" s="98"/>
      <c r="E32" s="98"/>
      <c r="F32" s="98"/>
      <c r="G32" s="98"/>
      <c r="H32" s="98"/>
      <c r="I32" s="212"/>
    </row>
    <row r="33" spans="1:9" x14ac:dyDescent="0.25">
      <c r="A33" s="211"/>
      <c r="B33" s="98"/>
      <c r="C33" s="98"/>
      <c r="D33" s="98"/>
      <c r="E33" s="98"/>
      <c r="F33" s="98"/>
      <c r="G33" s="98"/>
      <c r="H33" s="98"/>
      <c r="I33" s="212"/>
    </row>
    <row r="34" spans="1:9" x14ac:dyDescent="0.25">
      <c r="A34" s="211"/>
      <c r="B34" s="98"/>
      <c r="C34" s="98"/>
      <c r="D34" s="98"/>
      <c r="E34" s="98"/>
      <c r="F34" s="98"/>
      <c r="G34" s="98"/>
      <c r="H34" s="98"/>
      <c r="I34" s="212"/>
    </row>
    <row r="35" spans="1:9" x14ac:dyDescent="0.25">
      <c r="A35" s="211"/>
      <c r="B35" s="98"/>
      <c r="C35" s="98"/>
      <c r="D35" s="98"/>
      <c r="E35" s="98"/>
      <c r="F35" s="98"/>
      <c r="G35" s="98"/>
      <c r="H35" s="98"/>
      <c r="I35" s="212"/>
    </row>
    <row r="36" spans="1:9" x14ac:dyDescent="0.25">
      <c r="A36" s="107"/>
      <c r="B36" s="7"/>
      <c r="C36" s="7"/>
      <c r="D36" s="7"/>
      <c r="E36" s="7"/>
      <c r="F36" s="7"/>
      <c r="G36" s="7"/>
      <c r="H36" s="7"/>
      <c r="I36" s="6"/>
    </row>
    <row r="37" spans="1:9" x14ac:dyDescent="0.25">
      <c r="A37" s="107"/>
      <c r="B37" s="7"/>
      <c r="C37" s="7"/>
      <c r="D37" s="7"/>
      <c r="E37" s="7"/>
      <c r="F37" s="7"/>
      <c r="G37" s="7"/>
      <c r="H37" s="7"/>
      <c r="I37" s="6"/>
    </row>
    <row r="38" spans="1:9" x14ac:dyDescent="0.25">
      <c r="A38" s="107"/>
      <c r="B38" s="7"/>
      <c r="C38" s="7"/>
      <c r="D38" s="7"/>
      <c r="E38" s="7"/>
      <c r="F38" s="7"/>
      <c r="G38" s="7"/>
      <c r="H38" s="7"/>
      <c r="I38" s="6"/>
    </row>
    <row r="39" spans="1:9" ht="15.75" thickBot="1" x14ac:dyDescent="0.3">
      <c r="A39" s="107"/>
      <c r="B39" s="7"/>
      <c r="C39" s="7"/>
      <c r="D39" s="7"/>
      <c r="E39" s="7"/>
      <c r="F39" s="7"/>
      <c r="G39" s="7"/>
      <c r="H39" s="7"/>
      <c r="I39" s="6"/>
    </row>
    <row r="40" spans="1:9" x14ac:dyDescent="0.25">
      <c r="A40" s="107"/>
      <c r="B40" s="7"/>
      <c r="C40" s="193" t="str">
        <f>general!$AG$125</f>
        <v>RÁM - VEDENÍ PRO VYSOKÝ PŘEKLAD (HL)</v>
      </c>
      <c r="D40" s="194"/>
      <c r="E40" s="194"/>
      <c r="F40" s="194"/>
      <c r="G40" s="194"/>
      <c r="H40" s="194"/>
      <c r="I40" s="195"/>
    </row>
    <row r="41" spans="1:9" ht="15.75" thickBot="1" x14ac:dyDescent="0.3">
      <c r="A41" s="107"/>
      <c r="B41" s="7"/>
      <c r="C41" s="200"/>
      <c r="D41" s="201"/>
      <c r="E41" s="201"/>
      <c r="F41" s="201"/>
      <c r="G41" s="201"/>
      <c r="H41" s="201"/>
      <c r="I41" s="202"/>
    </row>
    <row r="42" spans="1:9" ht="15.75" thickBot="1" x14ac:dyDescent="0.3">
      <c r="A42" s="107"/>
      <c r="B42" s="7"/>
      <c r="C42" s="214" t="str">
        <f>general!$AG$106</f>
        <v>Umístění motoru</v>
      </c>
      <c r="D42" s="215"/>
      <c r="E42" s="193" t="str">
        <f>general!$AG$107</f>
        <v>Na levé straně</v>
      </c>
      <c r="F42" s="194"/>
      <c r="G42" s="195"/>
      <c r="H42" s="216"/>
      <c r="I42" s="216"/>
    </row>
    <row r="43" spans="1:9" ht="15.75" thickBot="1" x14ac:dyDescent="0.3">
      <c r="A43" s="107"/>
      <c r="B43" s="7"/>
      <c r="C43" s="217"/>
      <c r="D43" s="218"/>
      <c r="E43" s="200"/>
      <c r="F43" s="201"/>
      <c r="G43" s="202"/>
      <c r="H43" s="216"/>
      <c r="I43" s="216"/>
    </row>
    <row r="44" spans="1:9" ht="15.75" thickBot="1" x14ac:dyDescent="0.3">
      <c r="A44" s="107"/>
      <c r="B44" s="7"/>
      <c r="C44" s="214" t="str">
        <f>general!$R$61</f>
        <v>Sestavil:</v>
      </c>
      <c r="D44" s="215"/>
      <c r="E44" s="219"/>
      <c r="F44" s="219"/>
      <c r="G44" s="219"/>
      <c r="H44" s="216"/>
      <c r="I44" s="216"/>
    </row>
    <row r="45" spans="1:9" ht="15.75" thickBot="1" x14ac:dyDescent="0.3">
      <c r="A45" s="107"/>
      <c r="B45" s="7"/>
      <c r="C45" s="217"/>
      <c r="D45" s="218"/>
      <c r="E45" s="219"/>
      <c r="F45" s="219"/>
      <c r="G45" s="219"/>
      <c r="H45" s="216"/>
      <c r="I45" s="216"/>
    </row>
    <row r="46" spans="1:9" ht="15.75" thickBot="1" x14ac:dyDescent="0.3">
      <c r="A46" s="107"/>
      <c r="B46" s="7"/>
      <c r="C46" s="214" t="str">
        <f>general!$T$61</f>
        <v>Upravil:</v>
      </c>
      <c r="D46" s="215"/>
      <c r="E46" s="219"/>
      <c r="F46" s="219"/>
      <c r="G46" s="219"/>
      <c r="H46" s="216"/>
      <c r="I46" s="216"/>
    </row>
    <row r="47" spans="1:9" ht="15.75" thickBot="1" x14ac:dyDescent="0.3">
      <c r="A47" s="107"/>
      <c r="B47" s="7"/>
      <c r="C47" s="217"/>
      <c r="D47" s="218"/>
      <c r="E47" s="219"/>
      <c r="F47" s="219"/>
      <c r="G47" s="219"/>
      <c r="H47" s="216"/>
      <c r="I47" s="216"/>
    </row>
    <row r="48" spans="1:9" ht="15.75" thickBot="1" x14ac:dyDescent="0.3">
      <c r="A48" s="107"/>
      <c r="B48" s="7"/>
      <c r="C48" s="214" t="str">
        <f>general!$Z$61</f>
        <v>Datum:</v>
      </c>
      <c r="D48" s="215"/>
      <c r="E48" s="220"/>
      <c r="F48" s="220"/>
      <c r="G48" s="220"/>
      <c r="H48" s="216"/>
      <c r="I48" s="216"/>
    </row>
    <row r="49" spans="1:9" ht="15.75" thickBot="1" x14ac:dyDescent="0.3">
      <c r="A49" s="199"/>
      <c r="B49" s="1"/>
      <c r="C49" s="217"/>
      <c r="D49" s="218"/>
      <c r="E49" s="220"/>
      <c r="F49" s="220"/>
      <c r="G49" s="220"/>
      <c r="H49" s="216"/>
      <c r="I49" s="216"/>
    </row>
  </sheetData>
  <sheetProtection password="996F" sheet="1" objects="1" selectLockedCells="1"/>
  <mergeCells count="14">
    <mergeCell ref="C46:D47"/>
    <mergeCell ref="E46:G47"/>
    <mergeCell ref="C48:D49"/>
    <mergeCell ref="E48:G49"/>
    <mergeCell ref="A6:A9"/>
    <mergeCell ref="I6:I9"/>
    <mergeCell ref="A15:A18"/>
    <mergeCell ref="I15:I18"/>
    <mergeCell ref="C40:I41"/>
    <mergeCell ref="C42:D43"/>
    <mergeCell ref="E42:G43"/>
    <mergeCell ref="H42:I49"/>
    <mergeCell ref="C44:D45"/>
    <mergeCell ref="E44:G4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</vt:lpstr>
      <vt:lpstr>SW-R</vt:lpstr>
      <vt:lpstr>SW-L</vt:lpstr>
      <vt:lpstr>general!Print_Area</vt:lpstr>
    </vt:vector>
  </TitlesOfParts>
  <Company>Rohaka Management &amp; Support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Kasal, Jaroslav</dc:creator>
  <cp:lastModifiedBy>Kasal, Jaroslav</cp:lastModifiedBy>
  <dcterms:created xsi:type="dcterms:W3CDTF">2020-07-15T08:45:57Z</dcterms:created>
  <dcterms:modified xsi:type="dcterms:W3CDTF">2020-07-15T08:45:58Z</dcterms:modified>
</cp:coreProperties>
</file>